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05" windowWidth="22995" windowHeight="967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AK405" i="1" l="1"/>
  <c r="AK404" i="1"/>
  <c r="AK403" i="1"/>
  <c r="AI403" i="1"/>
  <c r="AI404" i="1"/>
  <c r="AP397" i="1"/>
  <c r="AP396" i="1"/>
  <c r="AN389" i="1"/>
  <c r="AI371" i="1"/>
  <c r="AB371" i="1"/>
  <c r="AH371" i="1"/>
  <c r="AN368" i="1"/>
  <c r="AN363" i="1"/>
  <c r="AI49" i="1"/>
  <c r="AP49" i="1"/>
  <c r="AN44" i="1"/>
  <c r="AN43" i="1"/>
  <c r="AN37" i="1"/>
  <c r="AN36" i="1" l="1"/>
  <c r="AN35" i="1"/>
  <c r="AN33" i="1" l="1"/>
  <c r="AN32" i="1"/>
  <c r="AN24" i="1"/>
  <c r="AE420" i="1" l="1"/>
  <c r="AB405" i="1"/>
  <c r="AA405" i="1"/>
  <c r="Z405" i="1"/>
  <c r="X405" i="1"/>
  <c r="V405" i="1"/>
  <c r="U405" i="1"/>
  <c r="T405" i="1"/>
  <c r="R405" i="1"/>
  <c r="Q405" i="1"/>
  <c r="P405" i="1"/>
  <c r="O405" i="1"/>
  <c r="N405" i="1"/>
  <c r="M405" i="1"/>
  <c r="L405" i="1"/>
  <c r="K405" i="1"/>
  <c r="I405" i="1"/>
  <c r="H405" i="1"/>
  <c r="G405" i="1"/>
  <c r="F405" i="1"/>
  <c r="E405" i="1"/>
  <c r="AP405" i="1" l="1"/>
  <c r="H357" i="1"/>
  <c r="H360" i="1"/>
  <c r="X361" i="1"/>
  <c r="AI366" i="1"/>
  <c r="Y359" i="1"/>
  <c r="Y357" i="1"/>
  <c r="X359" i="1"/>
  <c r="X357" i="1"/>
  <c r="AN31" i="1"/>
  <c r="AN30" i="1"/>
  <c r="P51" i="1"/>
  <c r="AK51" i="1"/>
  <c r="AJ51" i="1"/>
  <c r="AC51" i="1"/>
  <c r="AB51" i="1"/>
  <c r="AA51" i="1"/>
  <c r="Z51" i="1"/>
  <c r="Y51" i="1"/>
  <c r="X51" i="1"/>
  <c r="V51" i="1"/>
  <c r="U51" i="1"/>
  <c r="T51" i="1"/>
  <c r="R51" i="1"/>
  <c r="Q51" i="1"/>
  <c r="N51" i="1"/>
  <c r="O51" i="1"/>
  <c r="M51" i="1"/>
  <c r="L51" i="1"/>
  <c r="K51" i="1"/>
  <c r="J51" i="1"/>
  <c r="I51" i="1"/>
  <c r="H51" i="1"/>
  <c r="F51" i="1"/>
  <c r="E51" i="1"/>
  <c r="G51" i="1"/>
  <c r="F352" i="1"/>
  <c r="AK352" i="1"/>
  <c r="AC367" i="1"/>
  <c r="AJ367" i="1"/>
  <c r="U367" i="1"/>
  <c r="T367" i="1"/>
  <c r="R367" i="1"/>
  <c r="O367" i="1"/>
  <c r="N367" i="1"/>
  <c r="M367" i="1"/>
  <c r="L367" i="1"/>
  <c r="AK367" i="1"/>
  <c r="K367" i="1"/>
  <c r="G367" i="1"/>
  <c r="F367" i="1"/>
  <c r="E367" i="1"/>
  <c r="E382" i="1"/>
  <c r="E384" i="1"/>
  <c r="E383" i="1"/>
  <c r="AN387" i="1"/>
  <c r="L406" i="1"/>
  <c r="AM406" i="1"/>
  <c r="P406" i="1"/>
  <c r="K363" i="1"/>
  <c r="J406" i="1"/>
  <c r="G406" i="1"/>
  <c r="T410" i="1"/>
  <c r="E410" i="1"/>
  <c r="W422" i="1"/>
  <c r="E418" i="1"/>
  <c r="T418" i="1"/>
  <c r="N418" i="1"/>
  <c r="K416" i="1"/>
  <c r="V352" i="1"/>
  <c r="X352" i="1"/>
  <c r="Z352" i="1"/>
  <c r="AA352" i="1"/>
  <c r="AB352" i="1"/>
  <c r="U352" i="1"/>
  <c r="T352" i="1"/>
  <c r="L352" i="1"/>
  <c r="M352" i="1"/>
  <c r="N352" i="1"/>
  <c r="O352" i="1"/>
  <c r="P352" i="1"/>
  <c r="Q352" i="1"/>
  <c r="R352" i="1"/>
  <c r="K352" i="1"/>
  <c r="I352" i="1"/>
  <c r="H352" i="1"/>
  <c r="G352" i="1"/>
  <c r="U359" i="1"/>
  <c r="U357" i="1"/>
  <c r="AC359" i="1"/>
  <c r="AC357" i="1"/>
  <c r="J364" i="1"/>
  <c r="AK359" i="1"/>
  <c r="AJ359" i="1"/>
  <c r="AJ357" i="1"/>
  <c r="AB359" i="1"/>
  <c r="AB357" i="1"/>
  <c r="W359" i="1"/>
  <c r="W357" i="1"/>
  <c r="V359" i="1"/>
  <c r="V357" i="1"/>
  <c r="T359" i="1"/>
  <c r="T357" i="1"/>
  <c r="P359" i="1"/>
  <c r="P357" i="1"/>
  <c r="N359" i="1"/>
  <c r="N357" i="1"/>
  <c r="O359" i="1"/>
  <c r="O357" i="1"/>
  <c r="M357" i="1"/>
  <c r="M359" i="1"/>
  <c r="L359" i="1"/>
  <c r="L357" i="1"/>
  <c r="K359" i="1"/>
  <c r="K357" i="1"/>
  <c r="G359" i="1"/>
  <c r="G357" i="1"/>
  <c r="F359" i="1"/>
  <c r="F357" i="1"/>
  <c r="E359" i="1"/>
  <c r="E357" i="1"/>
  <c r="AM363" i="1"/>
  <c r="G363" i="1"/>
  <c r="AK357" i="1"/>
  <c r="AK401" i="1"/>
  <c r="AC401" i="1"/>
  <c r="AB401" i="1"/>
  <c r="AA401" i="1"/>
  <c r="Y401" i="1"/>
  <c r="V401" i="1"/>
  <c r="T401" i="1"/>
  <c r="S401" i="1"/>
  <c r="Q401" i="1"/>
  <c r="P401" i="1"/>
  <c r="N401" i="1"/>
  <c r="M401" i="1"/>
  <c r="L401" i="1"/>
  <c r="K401" i="1"/>
  <c r="J401" i="1"/>
  <c r="I401" i="1"/>
  <c r="H401" i="1"/>
  <c r="G401" i="1"/>
  <c r="F401" i="1"/>
  <c r="E401" i="1"/>
  <c r="AK400" i="1"/>
  <c r="AC400" i="1"/>
  <c r="AB400" i="1"/>
  <c r="AA400" i="1"/>
  <c r="Y400" i="1"/>
  <c r="V400" i="1"/>
  <c r="T400" i="1"/>
  <c r="S400" i="1"/>
  <c r="Q400" i="1"/>
  <c r="P400" i="1"/>
  <c r="N400" i="1"/>
  <c r="M400" i="1"/>
  <c r="L400" i="1"/>
  <c r="K400" i="1"/>
  <c r="J400" i="1"/>
  <c r="I400" i="1"/>
  <c r="H400" i="1"/>
  <c r="G400" i="1"/>
  <c r="F400" i="1"/>
  <c r="E400" i="1"/>
  <c r="AH403" i="1"/>
  <c r="AC403" i="1"/>
  <c r="AA403" i="1"/>
  <c r="Z403" i="1"/>
  <c r="Y403" i="1"/>
  <c r="X403" i="1"/>
  <c r="V403" i="1"/>
  <c r="U403" i="1"/>
  <c r="O403" i="1"/>
  <c r="M403" i="1"/>
  <c r="L403" i="1"/>
  <c r="K403" i="1"/>
  <c r="I403" i="1"/>
  <c r="H403" i="1"/>
  <c r="G403" i="1"/>
  <c r="F403" i="1"/>
  <c r="AH404" i="1"/>
  <c r="AC404" i="1"/>
  <c r="AA404" i="1"/>
  <c r="Z404" i="1"/>
  <c r="Y404" i="1"/>
  <c r="X404" i="1"/>
  <c r="V404" i="1"/>
  <c r="U404" i="1"/>
  <c r="O404" i="1"/>
  <c r="M404" i="1"/>
  <c r="L404" i="1"/>
  <c r="K404" i="1"/>
  <c r="I404" i="1"/>
  <c r="H404" i="1"/>
  <c r="G404" i="1"/>
  <c r="F404" i="1"/>
  <c r="P363" i="1"/>
  <c r="E353" i="1"/>
  <c r="AF372" i="1"/>
  <c r="AD372" i="1"/>
  <c r="AH373" i="1"/>
  <c r="AK374" i="1"/>
  <c r="F373" i="1"/>
  <c r="G373" i="1"/>
  <c r="H373" i="1"/>
  <c r="I373" i="1"/>
  <c r="K373" i="1"/>
  <c r="L373" i="1"/>
  <c r="M373" i="1"/>
  <c r="O373" i="1"/>
  <c r="U373" i="1"/>
  <c r="V373" i="1"/>
  <c r="X373" i="1"/>
  <c r="Y373" i="1"/>
  <c r="Z373" i="1"/>
  <c r="AA373" i="1"/>
  <c r="AC373" i="1"/>
  <c r="AP363" i="1" l="1"/>
  <c r="AP403" i="1"/>
  <c r="AP404" i="1"/>
  <c r="AD376" i="1"/>
  <c r="AE376" i="1"/>
  <c r="AF376" i="1"/>
  <c r="AG376" i="1"/>
  <c r="AL376" i="1"/>
  <c r="W376" i="1"/>
  <c r="AG377" i="1"/>
  <c r="AD377" i="1"/>
  <c r="AG372" i="1" l="1"/>
  <c r="AF371" i="1"/>
  <c r="AE371" i="1"/>
  <c r="AE372" i="1"/>
  <c r="AH372" i="1"/>
  <c r="AP376" i="1"/>
  <c r="K371" i="1"/>
  <c r="K374" i="1"/>
  <c r="F374" i="1"/>
  <c r="F371" i="1"/>
  <c r="O371" i="1"/>
  <c r="AB374" i="1"/>
  <c r="AC371" i="1"/>
  <c r="AK379" i="1"/>
  <c r="T378" i="1"/>
  <c r="E378" i="1"/>
  <c r="AP56" i="1"/>
  <c r="AP256" i="1"/>
  <c r="AP251" i="1"/>
  <c r="AP238" i="1"/>
  <c r="AP113" i="1"/>
  <c r="AC374" i="1"/>
  <c r="AA374" i="1"/>
  <c r="Y374" i="1"/>
  <c r="V374" i="1"/>
  <c r="T374" i="1"/>
  <c r="S374" i="1"/>
  <c r="Q374" i="1"/>
  <c r="P374" i="1"/>
  <c r="N374" i="1"/>
  <c r="M374" i="1"/>
  <c r="L374" i="1"/>
  <c r="J374" i="1"/>
  <c r="I374" i="1"/>
  <c r="H374" i="1"/>
  <c r="G374" i="1"/>
  <c r="E374" i="1"/>
  <c r="AA371" i="1"/>
  <c r="Z371" i="1"/>
  <c r="Y371" i="1"/>
  <c r="X371" i="1"/>
  <c r="V371" i="1"/>
  <c r="U371" i="1"/>
  <c r="T371" i="1"/>
  <c r="S371" i="1"/>
  <c r="Q371" i="1"/>
  <c r="P371" i="1"/>
  <c r="M371" i="1"/>
  <c r="N371" i="1"/>
  <c r="L371" i="1"/>
  <c r="J371" i="1"/>
  <c r="I371" i="1"/>
  <c r="H371" i="1"/>
  <c r="G371" i="1"/>
  <c r="E371" i="1"/>
  <c r="W371" i="1"/>
  <c r="AD371" i="1"/>
  <c r="AG371" i="1"/>
  <c r="S373" i="1" l="1"/>
  <c r="AP373" i="1" s="1"/>
  <c r="AP371" i="1"/>
  <c r="AP12" i="1"/>
  <c r="AP13" i="1"/>
  <c r="AP14" i="1"/>
  <c r="AP15" i="1"/>
  <c r="AP16" i="1"/>
  <c r="AP17" i="1"/>
  <c r="AP18" i="1"/>
  <c r="AP19" i="1"/>
  <c r="AP20" i="1"/>
  <c r="AP22" i="1"/>
  <c r="AP23" i="1"/>
  <c r="AP24" i="1"/>
  <c r="AP25" i="1"/>
  <c r="AP26" i="1"/>
  <c r="AP27" i="1"/>
  <c r="AP28" i="1"/>
  <c r="AP30" i="1"/>
  <c r="AP31" i="1"/>
  <c r="AP32" i="1"/>
  <c r="AP33" i="1"/>
  <c r="AP34" i="1"/>
  <c r="AP35" i="1"/>
  <c r="AP36" i="1"/>
  <c r="AP37" i="1"/>
  <c r="AP38" i="1"/>
  <c r="AP39" i="1"/>
  <c r="AP42" i="1"/>
  <c r="AP43" i="1"/>
  <c r="AP44" i="1"/>
  <c r="AP45" i="1"/>
  <c r="AP47" i="1"/>
  <c r="AP50" i="1"/>
  <c r="AP51" i="1"/>
  <c r="AP53" i="1"/>
  <c r="AP54" i="1"/>
  <c r="AP55" i="1"/>
  <c r="AP57" i="1"/>
  <c r="AP345" i="1"/>
  <c r="AP347" i="1"/>
  <c r="AP348" i="1"/>
  <c r="AP351" i="1"/>
  <c r="AP352" i="1"/>
  <c r="AP353" i="1"/>
  <c r="AP354" i="1"/>
  <c r="AP357" i="1"/>
  <c r="AP359" i="1"/>
  <c r="AP361" i="1"/>
  <c r="AP364" i="1"/>
  <c r="AP365" i="1"/>
  <c r="AP368" i="1"/>
  <c r="AP369" i="1"/>
  <c r="AP372" i="1"/>
  <c r="AP374" i="1"/>
  <c r="AP377" i="1"/>
  <c r="AP378" i="1"/>
  <c r="AP379" i="1"/>
  <c r="AP380" i="1"/>
  <c r="AP382" i="1"/>
  <c r="AP383" i="1"/>
  <c r="AP384" i="1"/>
  <c r="AP385" i="1"/>
  <c r="AP387" i="1"/>
  <c r="AP389" i="1"/>
  <c r="AP390" i="1"/>
  <c r="AP391" i="1"/>
  <c r="AP393" i="1"/>
  <c r="AP394" i="1"/>
  <c r="AP395" i="1"/>
  <c r="AP400" i="1"/>
  <c r="AP401" i="1"/>
  <c r="AP406" i="1"/>
  <c r="AP407" i="1"/>
  <c r="AP410" i="1"/>
  <c r="AP411" i="1"/>
  <c r="AP413" i="1"/>
  <c r="AP415" i="1"/>
  <c r="AP416" i="1"/>
  <c r="AP417" i="1"/>
  <c r="AP418" i="1"/>
  <c r="AP420" i="1"/>
  <c r="AP421" i="1"/>
  <c r="AP422" i="1"/>
  <c r="AP424" i="1"/>
  <c r="AP425" i="1"/>
  <c r="AP426" i="1"/>
  <c r="AP429" i="1"/>
  <c r="AP11" i="1"/>
</calcChain>
</file>

<file path=xl/comments1.xml><?xml version="1.0" encoding="utf-8"?>
<comments xmlns="http://schemas.openxmlformats.org/spreadsheetml/2006/main">
  <authors>
    <author>ESCRITÓRIO 3</author>
  </authors>
  <commentList>
    <comment ref="AP367" authorId="0">
      <text>
        <r>
          <rPr>
            <b/>
            <sz val="9"/>
            <color indexed="81"/>
            <rFont val="Tahoma"/>
            <charset val="1"/>
          </rPr>
          <t>ESCRITÓRIO 3:</t>
        </r>
        <r>
          <rPr>
            <sz val="9"/>
            <color indexed="81"/>
            <rFont val="Tahoma"/>
            <charset val="1"/>
          </rPr>
          <t xml:space="preserve">
SEGUNDO TRIBUNAL</t>
        </r>
      </text>
    </comment>
    <comment ref="AP369" authorId="0">
      <text>
        <r>
          <rPr>
            <b/>
            <sz val="9"/>
            <color indexed="81"/>
            <rFont val="Tahoma"/>
            <family val="2"/>
          </rPr>
          <t>ESCRITÓRIO 3:</t>
        </r>
        <r>
          <rPr>
            <sz val="9"/>
            <color indexed="81"/>
            <rFont val="Tahoma"/>
            <family val="2"/>
          </rPr>
          <t xml:space="preserve">
SEGUNDO TRIBUNAL
</t>
        </r>
      </text>
    </comment>
    <comment ref="C405" authorId="0">
      <text>
        <r>
          <rPr>
            <b/>
            <sz val="9"/>
            <color indexed="81"/>
            <rFont val="Tahoma"/>
            <family val="2"/>
          </rPr>
          <t>ESCRITÓRIO 3:</t>
        </r>
        <r>
          <rPr>
            <sz val="9"/>
            <color indexed="81"/>
            <rFont val="Tahoma"/>
            <family val="2"/>
          </rPr>
          <t xml:space="preserve">
CAIXA DAS PORTAS</t>
        </r>
      </text>
    </comment>
    <comment ref="C417" authorId="0">
      <text>
        <r>
          <rPr>
            <b/>
            <sz val="9"/>
            <color indexed="81"/>
            <rFont val="Tahoma"/>
            <charset val="1"/>
          </rPr>
          <t>ESCRITÓRIO 3:</t>
        </r>
        <r>
          <rPr>
            <sz val="9"/>
            <color indexed="81"/>
            <rFont val="Tahoma"/>
            <charset val="1"/>
          </rPr>
          <t xml:space="preserve">
OLHAR PROJETO DE INCENDIO</t>
        </r>
      </text>
    </comment>
    <comment ref="C420" authorId="0">
      <text>
        <r>
          <rPr>
            <b/>
            <sz val="9"/>
            <color indexed="81"/>
            <rFont val="Tahoma"/>
            <charset val="1"/>
          </rPr>
          <t>ESCRITÓRIO 3:</t>
        </r>
        <r>
          <rPr>
            <sz val="9"/>
            <color indexed="81"/>
            <rFont val="Tahoma"/>
            <charset val="1"/>
          </rPr>
          <t xml:space="preserve">
MUDAR PARA METRO</t>
        </r>
      </text>
    </comment>
  </commentList>
</comments>
</file>

<file path=xl/sharedStrings.xml><?xml version="1.0" encoding="utf-8"?>
<sst xmlns="http://schemas.openxmlformats.org/spreadsheetml/2006/main" count="1618" uniqueCount="1194">
  <si>
    <t>PLANILHA DE PREÇOS PARA A CONSTRUÇÃO</t>
  </si>
  <si>
    <t>PLANILHA ORÇAMENTÁRIA</t>
  </si>
  <si>
    <t>CÓDIGO</t>
  </si>
  <si>
    <t>ITEM</t>
  </si>
  <si>
    <t>ESPECIFICAÇÃO</t>
  </si>
  <si>
    <t>UNID</t>
  </si>
  <si>
    <t>1.00</t>
  </si>
  <si>
    <t>SERVIÇOS PRELIMINARES E ADMINISTRATIVOS</t>
  </si>
  <si>
    <t>00051 - ORSE</t>
  </si>
  <si>
    <t>1.01</t>
  </si>
  <si>
    <t>PLACA DE OBRA EM CHAPA AÇO GALVANIZADO, INSTALADA</t>
  </si>
  <si>
    <t>M2</t>
  </si>
  <si>
    <t>73672 - SINAPI</t>
  </si>
  <si>
    <t>1.02</t>
  </si>
  <si>
    <t>LIMPEZA MECANIZADA DO TERRENO</t>
  </si>
  <si>
    <t>SOOBB -1.8</t>
  </si>
  <si>
    <t>1.03</t>
  </si>
  <si>
    <t>ART DO CONTRATO</t>
  </si>
  <si>
    <t>UND.</t>
  </si>
  <si>
    <t>SOOBB -1.13</t>
  </si>
  <si>
    <t>1.04</t>
  </si>
  <si>
    <t>ALVARÁ PARA CONSTRUÇÃO</t>
  </si>
  <si>
    <t>SOOBB -2.1</t>
  </si>
  <si>
    <t>1.05</t>
  </si>
  <si>
    <t>EPI's</t>
  </si>
  <si>
    <t>VB</t>
  </si>
  <si>
    <t>MERC.</t>
  </si>
  <si>
    <t>1.06</t>
  </si>
  <si>
    <t>MOBILIZAÇÃO E DESMOBILIZAÇÃO</t>
  </si>
  <si>
    <t>01/0021 - COMP</t>
  </si>
  <si>
    <t>1.07</t>
  </si>
  <si>
    <t>ADMINISTRAÇÃO (COM ENG. RESPONSÁVEL)</t>
  </si>
  <si>
    <t>MÊS</t>
  </si>
  <si>
    <t>74220/001 - SINAPI</t>
  </si>
  <si>
    <t>1.08</t>
  </si>
  <si>
    <t>TAPUME DE CHAPA DE MADEIRA COMPENSADA (6MM) (PORTÃO)</t>
  </si>
  <si>
    <t>74242/001 - SINAPI</t>
  </si>
  <si>
    <t>1.09</t>
  </si>
  <si>
    <t xml:space="preserve">BARRACÃO DE OBRA EM TÁBUAS DE MADEIRA COM BANHEIRO, COBERTURA EM FIBROCIMENTO 4 MM, INCLUSO INSTALAÇÕES HIDRO-SANITÁRIAS E ELÉTRICAS </t>
  </si>
  <si>
    <t>74039/001 - SINAPI</t>
  </si>
  <si>
    <t>1.10</t>
  </si>
  <si>
    <t>CERCA COM MOURÕES DE MADEIRA ROLIÇA D=11CM, ESPAÇAMENTO DE 2M, ALTURA LIVRE DE 1M, CRAVADOS 0,50M, COM 5 FIOS DE ARAME FARPADO Nº14 CLASSE 2 50 - FORNEC E COLOC.</t>
  </si>
  <si>
    <t>M</t>
  </si>
  <si>
    <t>2.00</t>
  </si>
  <si>
    <t>MOVIMENTO DE TERRA</t>
  </si>
  <si>
    <t>02496 - ORSE</t>
  </si>
  <si>
    <t>2.01</t>
  </si>
  <si>
    <t>REGULARIZAÇÃO MECANIZADA DE ÁREAS</t>
  </si>
  <si>
    <t>73904/001 - SINAPI</t>
  </si>
  <si>
    <t>2.02</t>
  </si>
  <si>
    <t>ATERRO APILOADO(MANUAL) EM CAMADAS DE 20 CM COM MATERIAL DE EMPRÉSTIMO</t>
  </si>
  <si>
    <t>M3</t>
  </si>
  <si>
    <t>2.03</t>
  </si>
  <si>
    <t>ATERRO MECANIZADO COMPACTADO C/EMPRESTIMO</t>
  </si>
  <si>
    <t>2.04</t>
  </si>
  <si>
    <t>73992/001 - SINAPI</t>
  </si>
  <si>
    <t>2.05</t>
  </si>
  <si>
    <t xml:space="preserve">LOCAÇÃO CONVENCIONAL DE OBRA, ATRAVÉS DE GABARITO DE TÁBUAS CORRIDAS PONTALETADAS A CADA 1,50M </t>
  </si>
  <si>
    <t>74019/001 - SINAPI</t>
  </si>
  <si>
    <t>2.06</t>
  </si>
  <si>
    <t xml:space="preserve">ESCAVACAO MANUAL (VALAS OU FUNDAÇÕES RASAS) </t>
  </si>
  <si>
    <t>74016/001 - SINAPI</t>
  </si>
  <si>
    <t>2.07</t>
  </si>
  <si>
    <t>REGULARIZACAO E COMPACTACAO DE TERRENO, COM SOQUETE</t>
  </si>
  <si>
    <t>3.00</t>
  </si>
  <si>
    <t xml:space="preserve">INFRA-ESTRUTURA </t>
  </si>
  <si>
    <t>73972/001 - SINAPI</t>
  </si>
  <si>
    <t>3.01</t>
  </si>
  <si>
    <t>CONCRETO ESTRUTURAL FCK=25MPA, VIRADO EM BETONEIRA, NA OBRA, SEM LANÇAMENTO</t>
  </si>
  <si>
    <t>74157/001 - SINAPI</t>
  </si>
  <si>
    <t>3.02</t>
  </si>
  <si>
    <t>LANÇAMENTO MANUAL DE CONCRETO EM ESTRUTURA, INCL. VIBRAÇÃO</t>
  </si>
  <si>
    <t>74074/002 - SINAPI</t>
  </si>
  <si>
    <t>3.03</t>
  </si>
  <si>
    <t>FORMA PINHO 3A P/ CONCRETO EM FUNDAÇÃO REAPROV. 3 VEZES - CORTE/MONTAGEM/ESCORAMENTO/DESFORMA, NÃO INCLUÍDO DEMOLDANTE</t>
  </si>
  <si>
    <t>74254/002 - SINAPI</t>
  </si>
  <si>
    <t>3.04</t>
  </si>
  <si>
    <t xml:space="preserve">ARMACAO ACO CA-50/60, DIAM. 6,3 (1/4) À 12,5MM(1/2) -FORNECIMENTO/ CORTE(PERDA DE 10%) / DOBRA / COLOCAÇÃO. </t>
  </si>
  <si>
    <t>KG</t>
  </si>
  <si>
    <t>6427 - SINAPI</t>
  </si>
  <si>
    <t>3.05</t>
  </si>
  <si>
    <t>CONCRETO ARMADO FCK = 15 MPA, PREPARO C/ BETONEIRA, INCLUI LANCAMENTO</t>
  </si>
  <si>
    <t>02169 - ORSE</t>
  </si>
  <si>
    <t>3.06</t>
  </si>
  <si>
    <t>LASTRO DE CONCRETO MAGRO TRAÇO 1:4:8 ACABAMENTO SARRAFEADO, PREPARO MECÂNICO MAGRO EM FUNDO DE CAVA</t>
  </si>
  <si>
    <t>73935/002 - SINAPI</t>
  </si>
  <si>
    <t>3.07</t>
  </si>
  <si>
    <t>EMBASAMENTO EM ALVENARIA DE TIJOLO CERÂMICO FURADO 10X20X20, 1 VEZ, ASSENTADO EM ARGAMASSA 1:4 (CIMENTO E AREIA)</t>
  </si>
  <si>
    <t>73361 - SINAPI</t>
  </si>
  <si>
    <t>3.08</t>
  </si>
  <si>
    <t>CONCRETO CICLOPICO C/CONC DOS RAC 10 MPA 30% PED DE MAO INCLTRANSP HORIZ C/CARRINHOS ATE 20M E COLOCACAO.</t>
  </si>
  <si>
    <t>73981/003 - SINAPI</t>
  </si>
  <si>
    <t>3.09</t>
  </si>
  <si>
    <t>LASTRO DE CONCRETO IMPERMEABILIZADO TRAÇO 1:4:8, ESPESSURA 8CM, PREPARO MECÂNICO</t>
  </si>
  <si>
    <t>73844/001 - SINAPI</t>
  </si>
  <si>
    <t>3.10</t>
  </si>
  <si>
    <t>MURO DE ARRIMO DE ALVENARIA DE PEDRA ARGAMASSADA</t>
  </si>
  <si>
    <t>4.00</t>
  </si>
  <si>
    <t>SUPER-ESTRUTURA</t>
  </si>
  <si>
    <t>4.01</t>
  </si>
  <si>
    <t>ESTRUTURAS EM CONCRETO ARMADO</t>
  </si>
  <si>
    <t>74138/003 - SINAPI</t>
  </si>
  <si>
    <t>4.01.01</t>
  </si>
  <si>
    <t>CONCRETO USINADO BOMBEADO FCK=25MPA, INCLUSIVE COLOCAÇÃO, ESPALHAMENTO E ACABAMENTO.</t>
  </si>
  <si>
    <t>4.01.02</t>
  </si>
  <si>
    <t>74075/002 - SINAPI</t>
  </si>
  <si>
    <t>4.01.03</t>
  </si>
  <si>
    <t>FORMA MADEIRA COMP. RESINADA 12MM PARA ESTRUTURA REAPROV. 3 VEZES - CORTE/MONTAGEM/ESCORAMENTO/DESFORMA</t>
  </si>
  <si>
    <t>4.01.04</t>
  </si>
  <si>
    <t>4.02</t>
  </si>
  <si>
    <t>LAJES PRÉ FABRICADAS</t>
  </si>
  <si>
    <t>07393 - ORSE</t>
  </si>
  <si>
    <t>4.02.01</t>
  </si>
  <si>
    <t>LAJE TRELIÇADA P/FORRO, SOBRECARGA 100KG/M2, VÃOS ATÉ 3,50M/E=8 CM, C/ LAJOTAS E CAP. C/CONC FCK= 20 MPA, 3CM, INTER-EIXO 38 CM, C/ ESCORAMENTO (REAPR.3X) E FERRAGEM NEGATIVA</t>
  </si>
  <si>
    <t>5.00</t>
  </si>
  <si>
    <t>FECHAMENTOS</t>
  </si>
  <si>
    <t>73982/001 - SINAPI</t>
  </si>
  <si>
    <t>5.01</t>
  </si>
  <si>
    <t>ALVENARIA EM TIJOLO CERÂMICO FURADO 10X20X20 CM, 1/2 VEZ, ASSENTADO EM ARGAMASSA TRACO 1:2:8 (CIMENTO, CAL E AREIA), JUNTAS 12MM</t>
  </si>
  <si>
    <t>73937/003 - SINAPI</t>
  </si>
  <si>
    <t>5.02</t>
  </si>
  <si>
    <t>COBOGÓ DE CONCRETO (ELEMENTO VAZADO), ASSENTADO COM ARGAMASSA TRAÇO 1:3 (CIMENTO E AREIA)</t>
  </si>
  <si>
    <t>74200/001 - SINAPI</t>
  </si>
  <si>
    <t>5.03</t>
  </si>
  <si>
    <t>VERGAS E CONTRAVERGAS 10X10CM EM CONCRETO PRÉ-MOLDADO FCK=20MPA (PREPARO COM BETONEIRA) AÇO CA60, BITOLA FINA, INCLUSIVE FORMAS TABUA 3A.</t>
  </si>
  <si>
    <t>6.00</t>
  </si>
  <si>
    <t>COBERTA</t>
  </si>
  <si>
    <t>04732 - ORSE</t>
  </si>
  <si>
    <t>6.01</t>
  </si>
  <si>
    <t xml:space="preserve">MADEIRAMENTO EM MASSARANDUBA/MADEIRA DE LEI, PEÇA SERRADA 5cm X14cm PARA TELHA ONDULADA </t>
  </si>
  <si>
    <t>74088/001 - SINAPI</t>
  </si>
  <si>
    <t>6.02</t>
  </si>
  <si>
    <t>TELHAMENTO COM TELHA DE FIBROCIMENTO ONDULADA, ESPESSURA 6MM, INCLUSO JUNTAS DE VEDAÇÃO E ACESSÓRIOS DE FIXAÇÃO</t>
  </si>
  <si>
    <t>09296 - ORSE</t>
  </si>
  <si>
    <t>6.03</t>
  </si>
  <si>
    <t>CALHA DE CONCRETO E ALVENARIA, REVESTIDA INTERNAMENTE, IMPERMEABILIZADA COM MANTA ASFÁLTICA, SEÇÃO 50X30CM</t>
  </si>
  <si>
    <t>09184 - ORSE</t>
  </si>
  <si>
    <t>6.04</t>
  </si>
  <si>
    <t>CALHA PLUVIAL DE BEIRAL, D=170MM, SEMICIRCULAR DE PVC RÍGIDO, LINHA AQUAPLUV, TIGRE OU SIMILAR, EXCLUSIVE CONDUTORES</t>
  </si>
  <si>
    <t>68058 - SINAPI</t>
  </si>
  <si>
    <t>6.05</t>
  </si>
  <si>
    <t>RUFO EM CONCRETO ARMADO, LARGURA 30CM E ESPESSURA 7CM</t>
  </si>
  <si>
    <t>7.00</t>
  </si>
  <si>
    <t>INSTALAÇÕES HIDRO-SANITÁRIAS</t>
  </si>
  <si>
    <t>7.01</t>
  </si>
  <si>
    <t>INSTALAÇÕES HIDRÁULICAS</t>
  </si>
  <si>
    <t>75051/001 - SINAPI</t>
  </si>
  <si>
    <t>7.01.01</t>
  </si>
  <si>
    <t>TUBO PVC SOLDAVEL AGUA FRIA DN 20MM, S/ CONEXOES - FORNECIMENTO E INSTALAÇÃO</t>
  </si>
  <si>
    <t>75030/001 - SINAPI</t>
  </si>
  <si>
    <t>7.01.02</t>
  </si>
  <si>
    <t>TUBO PVC SOLDAVEL AGUA FRIA DN 25MM, INCLUSIVE CONEXOES - FORNECIMENTO E INSTALAÇÃO</t>
  </si>
  <si>
    <t>75030/002 - SINAPI</t>
  </si>
  <si>
    <t>7.01.03</t>
  </si>
  <si>
    <t>TUBO PVC SOLDAVEL AGUA FRIA DN 32MM, INCLUSIVE CONEXOES - FORNECIMENTO E INSTALAÇÃO</t>
  </si>
  <si>
    <t>75030/003 - SINAPI</t>
  </si>
  <si>
    <t>7.01.04</t>
  </si>
  <si>
    <t>TUBO PVC SOLDAVEL AGUA FRIA DN 40MM, INCLUSIVE CONEXOES - FORNECIMENTO E INSTALAÇÃO</t>
  </si>
  <si>
    <t>75030/004 - SINAPI</t>
  </si>
  <si>
    <t>7.01.05</t>
  </si>
  <si>
    <t>TUBO PVC SOLDAVEL AGUA FRIA DN 50MM, INCLUSIVE CONEXOES - FORNECIMENTO E INSTALAÇÃO</t>
  </si>
  <si>
    <t>0731 - SINAPI</t>
  </si>
  <si>
    <t>7.01.06</t>
  </si>
  <si>
    <t>BOMBA CENTRIFUGA C/ MOTOR ELETRICO MONOFASICO 1/2CV BOCAIS 1" X 3/4" DANCOR SERIE CAMW4 MOD.</t>
  </si>
  <si>
    <t xml:space="preserve"> UN </t>
  </si>
  <si>
    <t>74175/001 - SINAPI</t>
  </si>
  <si>
    <t>7.01.07</t>
  </si>
  <si>
    <t xml:space="preserve">REGISTRO GAVETA 1" COM CANOPLA ACABAMENTO CROMADO SIMPLES - FORNECIMENTO E INSTALAÇÃO  </t>
  </si>
  <si>
    <t>73797/001 - SINAPI</t>
  </si>
  <si>
    <t>7.01.08</t>
  </si>
  <si>
    <t>REGISTRO DE GAVETA COM CANOPLA Ø 32MM (1.1/4") - FORNECIMENTO E INSTALAÇÃO</t>
  </si>
  <si>
    <t>74174/001 - SINAPI</t>
  </si>
  <si>
    <t>7.01.09</t>
  </si>
  <si>
    <t>REGISTRO GAVETA 1.1/2" COM CANOPLA ACABAMENTO CROMADO SIMPLES - FORNECIMENTO E INSTALACAO</t>
  </si>
  <si>
    <t>40729 - SINAPI</t>
  </si>
  <si>
    <t>7.01.10</t>
  </si>
  <si>
    <t>VALVULA DESCARGA 1.1/2" COM REGISTRO, ACABAMENTO EM METAL CROMADO - FORNECIMENTO E INSTALAÇÃO</t>
  </si>
  <si>
    <t>7.01.11</t>
  </si>
  <si>
    <t>CISTERNA VERTICAL EM PVC CAP. 5.000L - FORTLEV OU SIMILAR</t>
  </si>
  <si>
    <t>01430 -ORSE</t>
  </si>
  <si>
    <t>7.01.12</t>
  </si>
  <si>
    <t>CAIXA D'ÁGUA EM FIBRA DE VIDRO - INSTALADA, SEM ESTRUTURA DE SUPORTE CAP. 3000L</t>
  </si>
  <si>
    <t>73639 - SINAPI</t>
  </si>
  <si>
    <t>7.01.13</t>
  </si>
  <si>
    <t>JOELHO PVC SOLDAVEL COM ROSCA METALICA 90º AGUA FRIA 25MMX3/4" - FORNECIMENTO E INSTALACAO</t>
  </si>
  <si>
    <t>73642 - SINAPI</t>
  </si>
  <si>
    <t>7.01.14</t>
  </si>
  <si>
    <t>JOELHO PVC SOLDAVEL COM ROSCA METALICA 90º AGUA FRIA 25MMX1/2" - FORNECIMENTO E INSTALACAO</t>
  </si>
  <si>
    <t>72571 - SINAPI</t>
  </si>
  <si>
    <t>7.01.15</t>
  </si>
  <si>
    <t>JOELHO PVC SOLDAVEL 90º AGUA FRIA 20MM - FORNECIMENTO E INSTALACAO</t>
  </si>
  <si>
    <t>72573 - SINAPI</t>
  </si>
  <si>
    <t>7.01.16</t>
  </si>
  <si>
    <t>JOELHO PVC SOLDAVEL 90º AGUA FRIA 25MM - FORNECIMENTO E INSTALACAO</t>
  </si>
  <si>
    <t>72575 - SINAPI</t>
  </si>
  <si>
    <t>7.01.17</t>
  </si>
  <si>
    <t>JOELHO PVC SOLDAVEL 90º AGUA FRIA 32MM - FORNECIMENTO E INSTALACAO</t>
  </si>
  <si>
    <t>72577 - SINAPI</t>
  </si>
  <si>
    <t>7.01.18</t>
  </si>
  <si>
    <t>JOELHO PVC SOLDAVEL 90º AGUA FRIA 40MM - FORNECIMENTO E INSTALACAO</t>
  </si>
  <si>
    <t>72579 - SINAPI</t>
  </si>
  <si>
    <t>7.01.19</t>
  </si>
  <si>
    <t>JOELHO PVC SOLDAVEL 90º AGUA FRIA 50MM - FORNECIMENTO E INSTALACAO</t>
  </si>
  <si>
    <t>1956 - SINAPI</t>
  </si>
  <si>
    <t>7.01.20</t>
  </si>
  <si>
    <t>CURVA PVC SOLD 90G P/ AGUA FRIA PREDIAL 25 MM</t>
  </si>
  <si>
    <t>3538 - SINAPI</t>
  </si>
  <si>
    <t>7.01.21</t>
  </si>
  <si>
    <t>JOELHO REDUCAO 90G PVC SOLD P/AGUA FRIA PREDIAL 32 MM X 25 MM</t>
  </si>
  <si>
    <t xml:space="preserve">UN </t>
  </si>
  <si>
    <t>72576 - SINAPI</t>
  </si>
  <si>
    <t>7.01.22</t>
  </si>
  <si>
    <t>JOELHO PVC SOLDAVEL 45º AGUA FRIA 32MM - FORNECIMENTO E INSTALACAO</t>
  </si>
  <si>
    <t>72578 - SINAPI</t>
  </si>
  <si>
    <t>7.01.23</t>
  </si>
  <si>
    <t>JOELHO PVC SOLDAVEL 45º AGUA FRIA 40MM - FORNECIMENTO E INSTALACAO</t>
  </si>
  <si>
    <t>72439 - SINAPI</t>
  </si>
  <si>
    <t>7.01.24</t>
  </si>
  <si>
    <t>TE DE PVC SOLDAVEL AGUA FRIA 25MM - FORNECIMENTO E INSTALACAO</t>
  </si>
  <si>
    <t>72440 - SINAPI</t>
  </si>
  <si>
    <t>7.01.25</t>
  </si>
  <si>
    <t>TE DE PVC SOLDAVEL AGUA FRIA 32MM - FORNECIMENTO E INSTALACAO</t>
  </si>
  <si>
    <t>72442 - SINAPI</t>
  </si>
  <si>
    <t>7.01.26</t>
  </si>
  <si>
    <t>TE DE PVC SOLDAVEL AGUA FRIA 50MM - FORNECIMENTO E INSTALACAO</t>
  </si>
  <si>
    <t>72452 - SINAPI</t>
  </si>
  <si>
    <t>7.01.27</t>
  </si>
  <si>
    <t>TE REDUÇÃO PVC SOLDAVEL AGUA FRIA 40X32MM - FORNECIMENTO E INSTALACAO</t>
  </si>
  <si>
    <t>03147 - ORSE</t>
  </si>
  <si>
    <t>7.01.28</t>
  </si>
  <si>
    <t>TÊ DE REDUÇÃO 90º DE PVC RÍGIDO SOLDÁVEL, MARROM DIÂM = 40X25MM</t>
  </si>
  <si>
    <t>72455 - SINAPI</t>
  </si>
  <si>
    <t>7.01.29</t>
  </si>
  <si>
    <t>TE REDUÇÃO PVC SOLDAVEL AGUA FRIA 50X32MM - FORNECIMENTO E INSTALACAO</t>
  </si>
  <si>
    <t>72456 - SINAPI</t>
  </si>
  <si>
    <t>7.01.30</t>
  </si>
  <si>
    <t>TE REDUÇÃO PVC SOLDAVEL AGUA FRIA 50X40MM - FORNECIMENTO E INSTALACAO</t>
  </si>
  <si>
    <t>7122 - SINAPI</t>
  </si>
  <si>
    <t>7.01.31</t>
  </si>
  <si>
    <t>TE PVC SOLD 90G C/ BUCHA LATAO NA BOLSA CENTRAL 25MM X 3/4"</t>
  </si>
  <si>
    <t>812 - SINAPI</t>
  </si>
  <si>
    <t>7.01.32</t>
  </si>
  <si>
    <t>BUCHA REDUCAO PVC SOLD CURTA P/ AGUA FRIA PRED 40MM X 32MM</t>
  </si>
  <si>
    <t>834 - SINAPI</t>
  </si>
  <si>
    <t>7.01.33</t>
  </si>
  <si>
    <t>BUCHA REDUCAO PVC SOLD CURTA P/ AGUA FRIA PRED 40MM X 25MM</t>
  </si>
  <si>
    <t>819 - SINAPI</t>
  </si>
  <si>
    <t>7.01.34</t>
  </si>
  <si>
    <t>BUCHA REDUCAO PVC SOLD CURTA P/ AGUA FRIA PRED 50MM X 40MM</t>
  </si>
  <si>
    <t>820 - SINAPI</t>
  </si>
  <si>
    <t>7.01.35</t>
  </si>
  <si>
    <t>BUCHA REDUCAO PVC SOLD LONGA P/ AGUA FRIA PRED 50MM X 32MM</t>
  </si>
  <si>
    <t>73795/002 - SINAPI</t>
  </si>
  <si>
    <t>7.01.36</t>
  </si>
  <si>
    <t>VÁLVULA DE RETENÇÃO VERTICAL Ø 25MM (1") - FORNECIMENTO E INSTALAÇÃO</t>
  </si>
  <si>
    <t>03351 - ORSE</t>
  </si>
  <si>
    <t>7.01.37</t>
  </si>
  <si>
    <t>TORNEIRA DE BANCADA COMANDO AUTOMÁTICO DA LINHA BIOPRESS REF.1180-BIO</t>
  </si>
  <si>
    <t>03575 - ORSE</t>
  </si>
  <si>
    <t>7.01.38</t>
  </si>
  <si>
    <t>TORNEIRA DE MESAL, BICA ALTA, PARA PIA DE COZINHA</t>
  </si>
  <si>
    <t>03710 - ORSE</t>
  </si>
  <si>
    <t>7.01.39</t>
  </si>
  <si>
    <t>DUCHA EM AÇO INOX, DECA, LINHA TARGA 1984 C 40 OU SIMILAR</t>
  </si>
  <si>
    <t>01446 - ORSE</t>
  </si>
  <si>
    <t>7.01.40</t>
  </si>
  <si>
    <t>TORNEIRA DE BÓIA P/CAIXA D'AGUA D = 1" (DECA OU SIMILAR)</t>
  </si>
  <si>
    <t>74218/001 - SINAPI</t>
  </si>
  <si>
    <t>7.01.41</t>
  </si>
  <si>
    <t>KIT CAVALETE PVC COM REGISTRO 3/4" - FORNECIMENTO E INSTALACAO</t>
  </si>
  <si>
    <t>11762 - SINAPI</t>
  </si>
  <si>
    <t>7.01.42</t>
  </si>
  <si>
    <t>TORNEIRA CROMADA 1/2" OU 3/4" REF 1153 P/ JARDIM</t>
  </si>
  <si>
    <t>088 - ORSE</t>
  </si>
  <si>
    <t>7.01.43</t>
  </si>
  <si>
    <t>ADAPTADOR CURTO, PVC RIGIDO SOLDÁVEL, C/ BOLSA E ROSCA P/ REGISTRO, D=40MM X 1 1/2"</t>
  </si>
  <si>
    <t>72784 - SINAPI</t>
  </si>
  <si>
    <t>7.01.44</t>
  </si>
  <si>
    <t>ADAPTADOR PVC SOLDAVEL COM FLANGES E ANEL  25MMX3/4" FORNECIMENTO E INSTALACAO</t>
  </si>
  <si>
    <t>7.02</t>
  </si>
  <si>
    <t>INSTALAÇÕES SANITÁRIAS E DRENAGEM</t>
  </si>
  <si>
    <t>7.02.01</t>
  </si>
  <si>
    <t>72556 - SINAPI</t>
  </si>
  <si>
    <t>7.02.02</t>
  </si>
  <si>
    <t>JOELHO PVC 90º ESGOTO 100MM - FORNECIMENTO E INSTALACAO</t>
  </si>
  <si>
    <t>72557 - SINAPI</t>
  </si>
  <si>
    <t>7.02.03</t>
  </si>
  <si>
    <t>JOELHO PVC 45º ESGOTO 100MM - FORNECIMENTO E INSTALACAO</t>
  </si>
  <si>
    <t>72562 - SINAPI</t>
  </si>
  <si>
    <t>7.02.04</t>
  </si>
  <si>
    <t>JOELHO PVC 90º ESGOTO 75MM - FORNECIMENTO E INSTALACAO</t>
  </si>
  <si>
    <t>72560 - SINAPI</t>
  </si>
  <si>
    <t>7.02.05</t>
  </si>
  <si>
    <t>JOELHO PVC 90º ESGOTO 50MM - FORNECIMENTO E INSTALACAO</t>
  </si>
  <si>
    <t>72561 - SINAPI</t>
  </si>
  <si>
    <t>7.02.06</t>
  </si>
  <si>
    <t>JOELHO PVC 45º ESGOTO 50MM - FORNECIMENTO E INSTALACAO</t>
  </si>
  <si>
    <t>72558 - SINAPI</t>
  </si>
  <si>
    <t>7.02.07</t>
  </si>
  <si>
    <t>JOELHO PVC 90º ESGOTO 40MM - FORNECIMENTO E INSTALACAO</t>
  </si>
  <si>
    <t>01670 - ORSE</t>
  </si>
  <si>
    <t>7.02.08</t>
  </si>
  <si>
    <t>JOELHO 45ºX40MM COM BOLSAS LISAS</t>
  </si>
  <si>
    <t>10836 - SINAPI</t>
  </si>
  <si>
    <t>7.02.09</t>
  </si>
  <si>
    <t>JOELHO 90º C/ VISITA 100X50MM</t>
  </si>
  <si>
    <t>7.02.10</t>
  </si>
  <si>
    <t>20044 - SINAPI</t>
  </si>
  <si>
    <t>7.02.11</t>
  </si>
  <si>
    <t xml:space="preserve">REDUÇÃO EXCÊNTRICA 100X75MM </t>
  </si>
  <si>
    <t>20086 - SINAPI</t>
  </si>
  <si>
    <t>7.02.12</t>
  </si>
  <si>
    <t>BUCHA REDUCAO PVC SOLD LONGA P/ ESG PREDIAL 50MM X 40MM</t>
  </si>
  <si>
    <t>72462 - SINAPI</t>
  </si>
  <si>
    <t>7.02.13</t>
  </si>
  <si>
    <t>TE SANITARIO 100X75MM, COM ANÉIS - FORNECIMENTO E INSTALACAO</t>
  </si>
  <si>
    <t>72461 - SINAPI</t>
  </si>
  <si>
    <t>7.02.14</t>
  </si>
  <si>
    <t>TE SANITARIO 100X50MM, COM ANÉIS - FORNECIMENTO E INSTALACAO</t>
  </si>
  <si>
    <t>20179 - SINAPI</t>
  </si>
  <si>
    <t>7.02.15</t>
  </si>
  <si>
    <t>TÊ DE 100 MM</t>
  </si>
  <si>
    <t>01594 - ORSE</t>
  </si>
  <si>
    <t>7.02.16</t>
  </si>
  <si>
    <t>TERMINAL DE VENTILAÇÃO 50MM</t>
  </si>
  <si>
    <t>07594 - ORSE</t>
  </si>
  <si>
    <t>7.02.17</t>
  </si>
  <si>
    <t>TERMINAL DE VENTILAÇÃO 75MM</t>
  </si>
  <si>
    <t>74168/001 - SINAPI</t>
  </si>
  <si>
    <t>7.02.18</t>
  </si>
  <si>
    <t>TUBO PVC ESGOTO SERIE R DN 150MM C/ ANEL DE BORRACHA - FORNECIMENTO E INSTALAÇÃO</t>
  </si>
  <si>
    <t>74165/004 - SINAPI</t>
  </si>
  <si>
    <t>7.02.19</t>
  </si>
  <si>
    <t>TUBO PVC ESGOTO PREDIAL DN 100MM, INCLUSIVE CONEXOES - FORNECIMENTO E INSTALAÇÃO</t>
  </si>
  <si>
    <t>74165/003 - SINAPI</t>
  </si>
  <si>
    <t>7.02.20</t>
  </si>
  <si>
    <t>TUBO PVC ESGOTO PREDIAL DN 75MM, INCLUSIVE CONEXOES - FORNECIMENTO E INSTALAÇÃO</t>
  </si>
  <si>
    <t>74165/002 - SINAPI</t>
  </si>
  <si>
    <t>7.02.21</t>
  </si>
  <si>
    <t>TUBO PVC ESGOTO PREDIAL DN 50MM, INCLUSIVE CONEXOES - FORNECIMENTO E INSTALAÇÃO</t>
  </si>
  <si>
    <t>74165/001 - SINAPI</t>
  </si>
  <si>
    <t>7.02.22</t>
  </si>
  <si>
    <t>TUBO PVC ESGOTO PREDIAL DN 40MM, INCLUSIVE CONEXOES - FORNECIMENTO E INSTALAÇÃO</t>
  </si>
  <si>
    <t>03674 - ORSE</t>
  </si>
  <si>
    <t>7.02.23</t>
  </si>
  <si>
    <t>SIFAO PARA PIA DE COZINHA EM PVC, ASTRA SC12, 1 1/2" X 50 MM, ACABAMENTO CROMADO OU SIMILAR</t>
  </si>
  <si>
    <t>03673 - ORSE</t>
  </si>
  <si>
    <t>7.02.24</t>
  </si>
  <si>
    <t>SIFAO PARA LAVATÓRIO EM PVC, ASTRA SC5, 1 1/2" X 40 MM, ACABAMENTO CROMADO OU SIMILAR</t>
  </si>
  <si>
    <t>07752 - ORSE</t>
  </si>
  <si>
    <t>7.02.25</t>
  </si>
  <si>
    <t>RALO HEMISFÉRICO EM FERRO FUNDIDO TIPO ABACAXI, DN=150MM</t>
  </si>
  <si>
    <t>04283 - ORSE</t>
  </si>
  <si>
    <t>7.02.26</t>
  </si>
  <si>
    <t>RALO HEMISFÉRICO EM FERRO FUNDIDO TIPO ABACAXI, DN=100MM</t>
  </si>
  <si>
    <t>40777 - SINAPI</t>
  </si>
  <si>
    <t>7.02.27</t>
  </si>
  <si>
    <t>CAIXA SIFONADA PVC 150X150X50MM COM GRELHA REDONDA BRANCA - FORNECIMENTO E INSTALAÇÃO</t>
  </si>
  <si>
    <t>4280/ORSE</t>
  </si>
  <si>
    <t>7.02.28</t>
  </si>
  <si>
    <t>CX. SIFONADA EM PVC, 100X150X50MM, ACABAMENTO BRANCO, C/ GRELHA E PORTA GRELHA</t>
  </si>
  <si>
    <t>74014/001 - SINAPI</t>
  </si>
  <si>
    <t>7.02.29</t>
  </si>
  <si>
    <t>VÁLVULA PARA LAVATÓRIO/PIA/TANQUE</t>
  </si>
  <si>
    <t>73947/011 - SINAPI</t>
  </si>
  <si>
    <t>7.02.30</t>
  </si>
  <si>
    <t>BACIA SANITÁRIA COM CX. ACOPLADA</t>
  </si>
  <si>
    <t>73628 - SINAPI</t>
  </si>
  <si>
    <t>7.02.31</t>
  </si>
  <si>
    <t>BACIA TURCA</t>
  </si>
  <si>
    <t>07482 - ORSE</t>
  </si>
  <si>
    <t>7.02.32</t>
  </si>
  <si>
    <t>BACIA SANITÁRIA HANDICAPPED (PARA DEFICIENTES FÍSICOS) PARA CAIXA ACOPLADA, LINHA STYLUS EXCELLENCE REF. 54359, NA COR BRANCA, CELITE OU SIMILAR</t>
  </si>
  <si>
    <t>04545 - ORSE</t>
  </si>
  <si>
    <t>7.02.33</t>
  </si>
  <si>
    <t>KIT DE ACESSÓRIOS PARA BANHEIRO ABS E ALUMÍNIO COM 5 PEÇAS (LINHA GENEBRA) REF.50500 OU SIMILAR</t>
  </si>
  <si>
    <t>72286 - SINAPI</t>
  </si>
  <si>
    <t>7.02.34</t>
  </si>
  <si>
    <t>CAIXA DE AREIA 60X60X60CM EM ALVENARIA</t>
  </si>
  <si>
    <t>74104/001 - SINAPI</t>
  </si>
  <si>
    <t>CAIXA DE INSPEÇÃO EM CONCRETO PRÉ-MOLDADO DN 60CM COM TAMPA H=60CM</t>
  </si>
  <si>
    <t>74051/002 - SINAPI</t>
  </si>
  <si>
    <t>CAIXA DE GORDURA SIMPLES EM CONCRETO PRÉ-MOLDADO 20X40X30CM COM TAMPA</t>
  </si>
  <si>
    <t>8.00</t>
  </si>
  <si>
    <t>INSTALAÇÕES CONTRA INCÊNDIO E PÂNICO</t>
  </si>
  <si>
    <t>8.01</t>
  </si>
  <si>
    <t>PINTURA (SINALIZAÇÃO)</t>
  </si>
  <si>
    <t>73865/001 - SINAPI</t>
  </si>
  <si>
    <t>8.01.01</t>
  </si>
  <si>
    <t>APLICAÇÃO DE PRIMER</t>
  </si>
  <si>
    <t>6067 - SINAPI</t>
  </si>
  <si>
    <t>8.01.02</t>
  </si>
  <si>
    <t>PINTURA EM ESMALTE SINTÉTICO 2 DEMÃOS NA COR VERMELHA</t>
  </si>
  <si>
    <t>8.02</t>
  </si>
  <si>
    <t>INFRA-ESTRUTURA DAS INST. ELETRO-ELETRÔNICAS</t>
  </si>
  <si>
    <t>73613 - SINAPI</t>
  </si>
  <si>
    <t>8.02.01</t>
  </si>
  <si>
    <t>ELETRODUTO DE PVC RÍGIDO ROSCÁVEL 20 MM (3/4") FORNECIMENTO E INSTALACAO</t>
  </si>
  <si>
    <t>76449/001 - SINAPI</t>
  </si>
  <si>
    <t>8.02.02</t>
  </si>
  <si>
    <t>CAIXAS DE DERIVAÇÃO E CONEXÕES</t>
  </si>
  <si>
    <t>3796 - ORSE</t>
  </si>
  <si>
    <t>8.02.03</t>
  </si>
  <si>
    <t>CABO DE COBRE FLEXÍVEL ISOLADO, SEÇÃO 1,5MM²</t>
  </si>
  <si>
    <t>8.03</t>
  </si>
  <si>
    <t>EQUIPAMENTOS FIXOS</t>
  </si>
  <si>
    <t>73775/001 - SINAPI</t>
  </si>
  <si>
    <t>8.03.01</t>
  </si>
  <si>
    <t xml:space="preserve">COLOCAÇÃO DE EXTINTOR DE PQS - 4KG </t>
  </si>
  <si>
    <t>72554 - SINAPI</t>
  </si>
  <si>
    <t>8.03.02</t>
  </si>
  <si>
    <t xml:space="preserve">COLOCAÇÃO DE EXTINTOR DE CO2 - 6KG </t>
  </si>
  <si>
    <t>73775/002 - SINAPI</t>
  </si>
  <si>
    <t>8.03.03</t>
  </si>
  <si>
    <t>COLOCAÇÃO DE EXTINTOR INCENDIO AGUA-PRESSURIZADA 10L INCL SUPORTE PAREDE CARGA COMPLETA FORNECIMENTO E COLOCACAO</t>
  </si>
  <si>
    <t>01506 - ORSE</t>
  </si>
  <si>
    <t>8.03.04</t>
  </si>
  <si>
    <t>INSTALAÇÃO DE DETECTOR TERMOVELOCIMÉTRICO</t>
  </si>
  <si>
    <t>01507 - ORSE</t>
  </si>
  <si>
    <t>8.03.05</t>
  </si>
  <si>
    <t>INSTALAÇÃO DE DETECTOR DE FUMAÇA</t>
  </si>
  <si>
    <t>8058 - ORSE</t>
  </si>
  <si>
    <t>8.03.06</t>
  </si>
  <si>
    <t>INSTALAÇÃO DE CENTRAL DE ALARME DE INCENDIO, 24V (ATÉ 80 SETORES) C/ 2 BATERIAS</t>
  </si>
  <si>
    <t>8693 - ORSE</t>
  </si>
  <si>
    <t>8.03.07</t>
  </si>
  <si>
    <t>INSTALAÇÃO DE BATERIA DE 12V X 7A PARA CENTRAIS DE ALARME</t>
  </si>
  <si>
    <t>00559 - ORSE</t>
  </si>
  <si>
    <t>8.03.08</t>
  </si>
  <si>
    <t>LUMINÁRIA DE EMERGÊNCIA 20W</t>
  </si>
  <si>
    <t>73916/003 - SINAPI</t>
  </si>
  <si>
    <t>8.03.09</t>
  </si>
  <si>
    <t xml:space="preserve">SINALIZAÇÃO DE EMERGÊNCIA </t>
  </si>
  <si>
    <t>74103/001 - SINAPI</t>
  </si>
  <si>
    <t>8.03.10</t>
  </si>
  <si>
    <t>ESCADA TIPO MARINHEIRO   EM ACO CA-50 12,5", INCLUSO PINTURA COM FUNDO ANTI-OXIDANTE</t>
  </si>
  <si>
    <t>9.0</t>
  </si>
  <si>
    <t>INSTALAÇÕES ELÉTRICAS</t>
  </si>
  <si>
    <t>9.01</t>
  </si>
  <si>
    <t>ENTRADA DE ENERGIA - MÉDIA TENSÃO</t>
  </si>
  <si>
    <t>02942 - ORSE</t>
  </si>
  <si>
    <t>9.01.01</t>
  </si>
  <si>
    <t>FORNECIMENTO DE POSTE DUPLO T (DT) 11X600</t>
  </si>
  <si>
    <t>04025 - ORSE</t>
  </si>
  <si>
    <t>9.01.02</t>
  </si>
  <si>
    <t>CRUZETA EM CONCRETO ARMADO, TIPO "T", 1900MM - FORNECIMENTO</t>
  </si>
  <si>
    <t>433 - SINAPI</t>
  </si>
  <si>
    <t>9.01.03</t>
  </si>
  <si>
    <t>PARAFUSO M16 (ROSCA MAQUINA D=16MM) X 350MM CAB QUADRADA - ZINCAGEM A FOGO</t>
  </si>
  <si>
    <t>03457 - ORSE</t>
  </si>
  <si>
    <t>9.01.04</t>
  </si>
  <si>
    <t>PARAFUSO MÁQUINA 16 X 400MM</t>
  </si>
  <si>
    <t>379 - SINAPI</t>
  </si>
  <si>
    <t>9.01.05</t>
  </si>
  <si>
    <t>ARRUELA QUADRADA ACO GALV D = 38MM ESP= 3MM DFURO= 18 MM</t>
  </si>
  <si>
    <t>04130 - ORSE</t>
  </si>
  <si>
    <t>9.01.06</t>
  </si>
  <si>
    <t>PORCA QUADRADA ROSCA DN = 16MM</t>
  </si>
  <si>
    <t>73854/002 -SINAPI</t>
  </si>
  <si>
    <t>9.01.07</t>
  </si>
  <si>
    <t>ARMACAO SECUNDARIA VERTICAL COMPLETA PARA REDE DE BAIXA TENSÃO,   CONJUNTO DE 4 ESTRIBOS COM CONDUTORES, ALINHAMENTO RETO, ANGULO INFERIOR A 90 GRAUS E PONTO TERMINAL. FORNECIMENTO E INSTALAÇÃO.</t>
  </si>
  <si>
    <t>73767/003 - SINAPI</t>
  </si>
  <si>
    <t>9.01.08</t>
  </si>
  <si>
    <t xml:space="preserve">LACO DE ROLDANA PRE-FORMADO ACO RECOBERTO DE ALUMINIO PARA CABO DE ALUMINIO NU BITOLA 25MM2 - FORNECIMENTO E COLOCACAO </t>
  </si>
  <si>
    <t>02889 - ORSE</t>
  </si>
  <si>
    <t>9.01.09</t>
  </si>
  <si>
    <t>FORNECIMENTO DE ISOLADOR DE PINO DE PORCELANA P/ 15 KV</t>
  </si>
  <si>
    <t>02932 - ORSE</t>
  </si>
  <si>
    <t>9.01.10</t>
  </si>
  <si>
    <t>FORNECIMENTO DE PINO DE TOPO P/ ISOLADOR 15 KV, 389MM</t>
  </si>
  <si>
    <t>9.01.11</t>
  </si>
  <si>
    <t xml:space="preserve">ALÇA DUPLA CABO 25 MM² </t>
  </si>
  <si>
    <t>03810 +52+68 - ORSE</t>
  </si>
  <si>
    <t>9.01.12</t>
  </si>
  <si>
    <t>CABO DE COBRE ISOLADO EPR, FLEXIVEL, 25MM², 12/20KV / 90º C (EPROTENAX OU SIMILAR)</t>
  </si>
  <si>
    <t>72252 - SINAPI</t>
  </si>
  <si>
    <t>9.01.13</t>
  </si>
  <si>
    <t xml:space="preserve">CABO DE COBRE NÚ SEÇÃO # 25MM2 </t>
  </si>
  <si>
    <t>842 - SINAPI</t>
  </si>
  <si>
    <t>9.01.14</t>
  </si>
  <si>
    <t>CABO DE ALUMÍNIO 25 MM²</t>
  </si>
  <si>
    <t>MERC. + 73780/001 - SINAPI</t>
  </si>
  <si>
    <t>9.01.15</t>
  </si>
  <si>
    <r>
      <t xml:space="preserve">CHAVE FUSIVEL UNIPOLAR, 15KV - </t>
    </r>
    <r>
      <rPr>
        <sz val="11"/>
        <rFont val="Calibri"/>
        <family val="2"/>
      </rPr>
      <t>200A</t>
    </r>
    <r>
      <rPr>
        <sz val="11"/>
        <rFont val="Calibri"/>
        <family val="2"/>
      </rPr>
      <t>, EQUIPADA COM COMANDO PARA HASTE DE MANOBRA, FORNECIMENTO E INSTALACAO</t>
    </r>
  </si>
  <si>
    <t>03453 + 52 - ORSE</t>
  </si>
  <si>
    <t>9.01.16</t>
  </si>
  <si>
    <t>ELO FUSÍVEL 6 K</t>
  </si>
  <si>
    <t>9.02</t>
  </si>
  <si>
    <t>SUBESTAÇÃO AÉREA (Conforme esp. técnicas)</t>
  </si>
  <si>
    <t>9.02.01</t>
  </si>
  <si>
    <t>11837 - SINAPI</t>
  </si>
  <si>
    <t>9.02.02</t>
  </si>
  <si>
    <t>GRAMPO LINHA VIVA, DE ALUMINIO CABO PRINCIPAL ( 10 - 120MM2) DERIVACAO (10 - 70MM2)</t>
  </si>
  <si>
    <t>9.02.03</t>
  </si>
  <si>
    <t>432 - SINAPI</t>
  </si>
  <si>
    <t>9.02.04</t>
  </si>
  <si>
    <t>PARAFUSO M16 (ROSCA MAQUINA D=16MM) X 250MM CAB QUADRADA - ZINCAGEM A FOGO</t>
  </si>
  <si>
    <t>439 - SINAPI</t>
  </si>
  <si>
    <t>9.02.05</t>
  </si>
  <si>
    <t>PARAFUSO M16 (ROSCA MAQUINA D=16MM) X 300MM CAB QUADRADA - ZINCAGEM A FOGO</t>
  </si>
  <si>
    <t>9.02.06</t>
  </si>
  <si>
    <t>9.02.07</t>
  </si>
  <si>
    <t>04138 - ORSE</t>
  </si>
  <si>
    <t>9.02.08</t>
  </si>
  <si>
    <t>CONECTOR ESTRIBO PRESSÃO PARA CABO AL 4 CAA, FORNECIMENTO</t>
  </si>
  <si>
    <t>04008 - ORSE</t>
  </si>
  <si>
    <t>9.02.09</t>
  </si>
  <si>
    <t>CONECTOR PARAFUSO FENDIDO 25 MM² - FORNECIMENTO</t>
  </si>
  <si>
    <t>9.02.10</t>
  </si>
  <si>
    <t>9.02.11</t>
  </si>
  <si>
    <t>00328 - ORSE</t>
  </si>
  <si>
    <t>9.02.12</t>
  </si>
  <si>
    <t>INSTALAÇÃO DO TRANSFORMADOR DE 112,5KVA, 15KV, 60HZ, AT 13,8KV, BT 220/127V</t>
  </si>
  <si>
    <t>02990 - ORSE</t>
  </si>
  <si>
    <t>9.02.13</t>
  </si>
  <si>
    <t>MÃO-DE-OBRA PARA IMPLANTAÇÃO DE TRANSFORMADOR TRIFÁSICO DE 15 A 112,5KVA</t>
  </si>
  <si>
    <t>4329 - SINAPI</t>
  </si>
  <si>
    <t>9.02.14</t>
  </si>
  <si>
    <t>PARAFUSO DE BRONZE OU LATÃO ROSCA INTEIRA 1/2" X2"</t>
  </si>
  <si>
    <t>03784 - ORSE</t>
  </si>
  <si>
    <t>9.02.15</t>
  </si>
  <si>
    <t>PORCA 1/2"</t>
  </si>
  <si>
    <t>9.02.16</t>
  </si>
  <si>
    <t>ARRUELA LISA DE BRONZE OU LATÃO</t>
  </si>
  <si>
    <t>07872 - ORSE</t>
  </si>
  <si>
    <t>9.02.17</t>
  </si>
  <si>
    <t>ARRUELA DE PRESSÃO 1/2" INOX</t>
  </si>
  <si>
    <t>72265 - SINAPI</t>
  </si>
  <si>
    <t>9.02.18</t>
  </si>
  <si>
    <t>TERMINAL OU CONECTOR DE PRESSAO - PARA CABO 95MM2 - FORNECIMENTO E INSTALACAO</t>
  </si>
  <si>
    <t>01664  - ORSE</t>
  </si>
  <si>
    <t>9.02.19</t>
  </si>
  <si>
    <t>PÁRA-RAIO DE DISTRIBUIÇÃO POLIMÉRICO 12KV, C/ DESLIGAMENTO AUTOMÁTICO, RESIST. NÃO LINEAR</t>
  </si>
  <si>
    <t>0339 - ORSE</t>
  </si>
  <si>
    <t>9.02.20</t>
  </si>
  <si>
    <t>QUADRO DE MEDIÇÃO TRIFÁSICA (ACIMA DE 10 KVA) COM CAIXA EM NORIL</t>
  </si>
  <si>
    <t>9.02.21</t>
  </si>
  <si>
    <t>DUTO DE PISO 140MM</t>
  </si>
  <si>
    <t>3816 - ORSE</t>
  </si>
  <si>
    <t>9.02.22</t>
  </si>
  <si>
    <t>CANALETA PLÁSTICA 75MM X 75MM (OU 75MM X 62,5MM), PIAL OU SIMILAR</t>
  </si>
  <si>
    <t>51 - ORSE</t>
  </si>
  <si>
    <t>9.02.23</t>
  </si>
  <si>
    <t>PLACA EM CHAPA DE AÇO GALVANIZADO, INSTALADA</t>
  </si>
  <si>
    <t>9.02.24</t>
  </si>
  <si>
    <t>PLACA DE ADVERTÊNCIA "PERIGO DE MORTE"</t>
  </si>
  <si>
    <t>9.03</t>
  </si>
  <si>
    <t>QUADROS  ELÉTRICOS E ACESSÓRIOS (CONFORME QUADROS DE CARGAS E ESP. TÉCNICAS)</t>
  </si>
  <si>
    <t>9.03.01</t>
  </si>
  <si>
    <t>PAINEL GERAL DE BAIXA TENSÃO (QDG) TIPO ARMÁRIO DE SOBREPOR 1080X1080X360MM - COM TAMPA FLANGE E CHAPA DE MONTAGEM BARRA DE COBRE DE 38,10 X 4,77 MM, SUPORTE EM ISOLADOR EPOXI DE 40MM</t>
  </si>
  <si>
    <t>00494 - ORSE</t>
  </si>
  <si>
    <t>9.03.02</t>
  </si>
  <si>
    <t>QUADRO DE DISTRIBUIÇÃO DE EMBUTIR, COM BARRAMENTO, EM CHAPA DE AÇO, PARA ATÉ 24 DISJUNTORES PADRÃO EUROPEU (LINHA BRANCA), EXCLUSIVE DISJUNTORES</t>
  </si>
  <si>
    <t>00491 - ORSE</t>
  </si>
  <si>
    <t>9.03.03</t>
  </si>
  <si>
    <t>QUADRO DE DISTRIBUIÇÃO DE EMBUTIR, COM BARRAMENTO, EM CHAPA DE AÇO, PARA ATÉ 36 DISJUNTORES PADRÃO EUROPEU (LINHA BRANCA), EXCLUSIVE DISJUNTORES</t>
  </si>
  <si>
    <t>9.04</t>
  </si>
  <si>
    <t>CONDUTORES ELÉTRICOS E ACESSÓRIOS</t>
  </si>
  <si>
    <t>07138 - ORSE</t>
  </si>
  <si>
    <t>9.04.01</t>
  </si>
  <si>
    <t>FORNECIMENTO E LANÇAMENTO DE CABO UTP 4 PARES CAT 6</t>
  </si>
  <si>
    <t>00696 - ORSE</t>
  </si>
  <si>
    <t>9.04.02</t>
  </si>
  <si>
    <t>FORNECIMENTO E LANÇAMENTO DE CABO UTP 25 PARES CAT 5E</t>
  </si>
  <si>
    <t>08008 - ORSE</t>
  </si>
  <si>
    <t>9.04.03</t>
  </si>
  <si>
    <t>CABO COAXIAL TRIPOLAR RGC 59 MALHA 67</t>
  </si>
  <si>
    <t>09298 - ORSE</t>
  </si>
  <si>
    <t>9.04.04</t>
  </si>
  <si>
    <t>CABO COAXIAL RGC 75 OHMS</t>
  </si>
  <si>
    <t>73860/008 - SINAPI</t>
  </si>
  <si>
    <t>9.04.05</t>
  </si>
  <si>
    <t>CABO DE COBRE ISOLADO PVC RESISTENTE A CHAMA 450/750 V 2,5 MM2 FORNECIMENTO E INSTALACAO</t>
  </si>
  <si>
    <t>73860/009 - SINAPI</t>
  </si>
  <si>
    <t>9.04.06</t>
  </si>
  <si>
    <t xml:space="preserve">CABO DE COBRE ISOLADO PVC RESISTENTE A CHAMA 450/750 V 4 MM2 FORNECIMENTO E INSTALACAO </t>
  </si>
  <si>
    <t>73860/010 - SINAPI</t>
  </si>
  <si>
    <t>9.04.07</t>
  </si>
  <si>
    <t xml:space="preserve">CABO DE COBRE ISOLADO PVC RESISTENTE A CHAMA 450/750 V 6 MM2 FORNECIMENTO E INSTALACAO </t>
  </si>
  <si>
    <t>73860/011 - SINAPI</t>
  </si>
  <si>
    <t>9.04.08</t>
  </si>
  <si>
    <t xml:space="preserve">CABO DE COBRE ISOLADO PVC RESISTENTE A CHAMA 450/750 V 10 MM2 FORNECIMENTO E INSTALACAO </t>
  </si>
  <si>
    <t>73860/013 - SINAPI</t>
  </si>
  <si>
    <t>9.04.09</t>
  </si>
  <si>
    <t>CABO DE COBRE ISOLADO PVC RESISTENTE A CHAMA 450/750 V 25 MM2 FORNECIMENTO E INSTALACAO</t>
  </si>
  <si>
    <t>73860/014 - SINAPI</t>
  </si>
  <si>
    <t>9.04.10</t>
  </si>
  <si>
    <t>CABO DE COBRE ISOLADO PVC RESISTENTE A CHAMA 450/750 V 50 MM2 FORNECIMENTO E INSTALAÇÃO</t>
  </si>
  <si>
    <t>73860/016 - SINAPI</t>
  </si>
  <si>
    <t>9.04.11</t>
  </si>
  <si>
    <t>CABO DE COBRE ISOLADO PVC RESISTENTE A CHAMA 450/750 V 95 MM2 FORNECIMENTO E INSTALACAO</t>
  </si>
  <si>
    <t>9.05</t>
  </si>
  <si>
    <t>ELETRODUTOS E ACESSÓRIOS</t>
  </si>
  <si>
    <t>72934 - SINAPI</t>
  </si>
  <si>
    <t>9.05.01</t>
  </si>
  <si>
    <t>ELETRODUTO DE PVC FLEXIVEL CORRUGADO 20 MM FORNECIMENTO E INSTALACAO</t>
  </si>
  <si>
    <t>72935 - SINAPI</t>
  </si>
  <si>
    <t>9.05.02</t>
  </si>
  <si>
    <t>ELETRODUTO DE PVC FLEXIVEL CORRUGADO 25 MM FORNECIMENTO E INSTALACAO</t>
  </si>
  <si>
    <t>72936 - SINAPI</t>
  </si>
  <si>
    <t>9.05.03</t>
  </si>
  <si>
    <t>ELETRODUTO DE PVC FLEXIVEL CORRUGADO 32 MM FORNECIMENTO E INSTALACAO</t>
  </si>
  <si>
    <t>72308 - SINAPI</t>
  </si>
  <si>
    <t>9.05.04</t>
  </si>
  <si>
    <t xml:space="preserve">ELETRODUTO DE ACO GALVANIZADO ELETROLÍTICO TIPO LEVE 3/4", INCLUSIVE CONEXOES - FORNECIMENTO E INSTALACAO </t>
  </si>
  <si>
    <t>72309 - SINAPI</t>
  </si>
  <si>
    <t>9.05.05</t>
  </si>
  <si>
    <t xml:space="preserve">ELETRODUTO DE ACO GALVANIZADO ELETROLÍTICO TIPO LEVE 1", INCLUSIVE CONEXOES - FORNECIMENTO E INSTALACAO </t>
  </si>
  <si>
    <t>72310 - SINAPI</t>
  </si>
  <si>
    <t>9.05.06</t>
  </si>
  <si>
    <t xml:space="preserve">ELETRODUTO DE ACO GALVANIZADO ELETROLÍTICO TIPO LEVE 1 1/2", INCLUSIVE CONEXOES - FORNECIMENTO E INSTALACAO </t>
  </si>
  <si>
    <t>00352 - ORSE</t>
  </si>
  <si>
    <t>9.05.07</t>
  </si>
  <si>
    <r>
      <t>ELETRODUTO PEAD, DIÂM = 20MM (3/4")</t>
    </r>
    <r>
      <rPr>
        <sz val="12"/>
        <color indexed="8"/>
        <rFont val="Times New Roman"/>
        <family val="1"/>
      </rPr>
      <t xml:space="preserve"> </t>
    </r>
  </si>
  <si>
    <t>40802 - SINAPI</t>
  </si>
  <si>
    <t>9.05.08</t>
  </si>
  <si>
    <r>
      <t>ELETRODUTO PEAD, DIÂM = 25MM (1")</t>
    </r>
    <r>
      <rPr>
        <sz val="12"/>
        <color indexed="8"/>
        <rFont val="Times New Roman"/>
        <family val="1"/>
      </rPr>
      <t xml:space="preserve"> </t>
    </r>
  </si>
  <si>
    <t>00354 - ORSE</t>
  </si>
  <si>
    <t>9.05.09</t>
  </si>
  <si>
    <r>
      <t>ELETRODUTO PEAD, DIÂM = 32MM (1 1/4")</t>
    </r>
    <r>
      <rPr>
        <sz val="12"/>
        <color indexed="8"/>
        <rFont val="Times New Roman"/>
        <family val="1"/>
      </rPr>
      <t xml:space="preserve"> </t>
    </r>
  </si>
  <si>
    <t>55865 - SINAPI</t>
  </si>
  <si>
    <t>9.05.10</t>
  </si>
  <si>
    <r>
      <t>ELETRODUTO PEAD, DIÂM = 40MM (1 1/2")</t>
    </r>
    <r>
      <rPr>
        <sz val="12"/>
        <color indexed="8"/>
        <rFont val="Times New Roman"/>
        <family val="1"/>
      </rPr>
      <t xml:space="preserve"> </t>
    </r>
  </si>
  <si>
    <t>55866 - SINAPI</t>
  </si>
  <si>
    <t>9.05.11</t>
  </si>
  <si>
    <r>
      <t>ELETRODUTO PEAD, DIÂM = 50MM (2")</t>
    </r>
    <r>
      <rPr>
        <sz val="12"/>
        <color indexed="8"/>
        <rFont val="Times New Roman"/>
        <family val="1"/>
      </rPr>
      <t xml:space="preserve"> </t>
    </r>
  </si>
  <si>
    <t>55867 - SINAPI</t>
  </si>
  <si>
    <t>9.05.12</t>
  </si>
  <si>
    <r>
      <t>ELETRODUTO PEAD, DIÂM = 75MM (3")</t>
    </r>
    <r>
      <rPr>
        <sz val="12"/>
        <color indexed="8"/>
        <rFont val="Times New Roman"/>
        <family val="1"/>
      </rPr>
      <t xml:space="preserve"> </t>
    </r>
  </si>
  <si>
    <t>9.06</t>
  </si>
  <si>
    <t>TOMADAS, INTERRUPTORES E  ACESSÓRIOS</t>
  </si>
  <si>
    <t>04279 - ORSE</t>
  </si>
  <si>
    <t>9.06.01</t>
  </si>
  <si>
    <t>TOMADA DUPLA, DE EMBUTIR, PARA USO GERAL, 2P+T, ABNT, 10A</t>
  </si>
  <si>
    <t>00478 - ORSE</t>
  </si>
  <si>
    <t>9.06.02</t>
  </si>
  <si>
    <t>TOMADA 2P + T, ABNT, DE EMBUTIR, 10 A, COM PLACA EM PVC</t>
  </si>
  <si>
    <t>00780 - ORSE</t>
  </si>
  <si>
    <t>9.06.03</t>
  </si>
  <si>
    <t>TOMADA 2P+T, ABNT, 10 A, PARA PISO, COM PLACA EM METAL AMARELO E CAIXA PVC</t>
  </si>
  <si>
    <t>9.06.04</t>
  </si>
  <si>
    <t>TAMPA PARA TOMADA EXTERNA</t>
  </si>
  <si>
    <t>72331 - SINAPI</t>
  </si>
  <si>
    <t>9.06.05</t>
  </si>
  <si>
    <t>INTERRUPTOR SIMPLES - 1 TECLA - FORNECIMENTO E INSTALACAO</t>
  </si>
  <si>
    <t>72332 - SINAPI</t>
  </si>
  <si>
    <t>9.06.06</t>
  </si>
  <si>
    <t>INTERRUPTOR SIMPLES - 2 TECLAS - FORNECIMENTO E INSTALACAO</t>
  </si>
  <si>
    <t>03403 - ORSE</t>
  </si>
  <si>
    <t>9.06.07</t>
  </si>
  <si>
    <t>INTERRUPTOR 03 SEÇÕES SIMPLES</t>
  </si>
  <si>
    <t>9.06.08</t>
  </si>
  <si>
    <t>PLACA PARA TELEFONE E REDE</t>
  </si>
  <si>
    <t>9.06.09</t>
  </si>
  <si>
    <t>CONECTOR RJ 45 MACHO</t>
  </si>
  <si>
    <t>07792 - ORSE</t>
  </si>
  <si>
    <t>9.06.10</t>
  </si>
  <si>
    <t>TOMADA DUPLA PARA LÓGICA RJ45, 4"X4", EMBUTIR, COMPLETA</t>
  </si>
  <si>
    <t>00796 - ORSE</t>
  </si>
  <si>
    <t>9.06.11</t>
  </si>
  <si>
    <t>TOMADA PARA LÓGICA, COM CAIXA PVC, EMBUTIDA</t>
  </si>
  <si>
    <t>9.07</t>
  </si>
  <si>
    <t>CAIXAS DE PASSAGEM  (CONFORME ESP. TÉCNICAS)</t>
  </si>
  <si>
    <t>08896 - ORSE</t>
  </si>
  <si>
    <t>9.07.01</t>
  </si>
  <si>
    <t>CAIXA DE PASSAGEM PVC TIPO AQUATIC 15X15X8CM</t>
  </si>
  <si>
    <t>9.07.02</t>
  </si>
  <si>
    <t>FORNECIMENTO E INSTALAÇÃO DE CAIXA DE PASSAGEM PVC 20X20X15 CM</t>
  </si>
  <si>
    <t>00437 + 0707 - ORSE</t>
  </si>
  <si>
    <t>9.07.03</t>
  </si>
  <si>
    <t>CAIXA DE PASSAGEM EM ALUMÍNIO 40 X 40 X 20 CM</t>
  </si>
  <si>
    <t>76449/002 - SINAPI</t>
  </si>
  <si>
    <t>9.07.04</t>
  </si>
  <si>
    <t xml:space="preserve">CAIXA DE PASSAGEM EM PVC 40X40X12CM, FORNECIMENTO E INSTALACAO </t>
  </si>
  <si>
    <t xml:space="preserve"> 76449/003 - SINAPI</t>
  </si>
  <si>
    <t>9.07.05</t>
  </si>
  <si>
    <t>CAIXA DE PASSAGEM EM PVC 60X60X12CM, FORNECIMENTO E INSTALAÇÃO</t>
  </si>
  <si>
    <t>1873 - SINAPI + 0743 - ORSE</t>
  </si>
  <si>
    <t>9.07.06</t>
  </si>
  <si>
    <t>CAIXA PVC 4" X 4" P/ELETRODUTO</t>
  </si>
  <si>
    <t>1872 - SINAPI + 0743 - ORSE</t>
  </si>
  <si>
    <t>9.07.07</t>
  </si>
  <si>
    <t>CAIXA PVC 4" X 2" P/ ELETRODUTO</t>
  </si>
  <si>
    <t>9.08</t>
  </si>
  <si>
    <t>ATERRAMENTO - SPDA</t>
  </si>
  <si>
    <t>72254 - SINAPI</t>
  </si>
  <si>
    <t>9.08.01</t>
  </si>
  <si>
    <t xml:space="preserve">CABO DE COBRE NÚ, BITOLA 50MM² </t>
  </si>
  <si>
    <t>72253 - SINAPI</t>
  </si>
  <si>
    <t>9.08.02</t>
  </si>
  <si>
    <t>CABO DE COBRE NÚ 35MM²</t>
  </si>
  <si>
    <t>9.08.03</t>
  </si>
  <si>
    <t>ALICATE PARA MOLDE DE SOLDA EXOTÉRMICA COMPATÍVEL COM CADINHO DE GRAFITE</t>
  </si>
  <si>
    <t>9.08.04</t>
  </si>
  <si>
    <t>ACENDEDOR IGNITOR PARA SOLDA EXOTÉRMICA COM 12 PÇ</t>
  </si>
  <si>
    <t>68069 - SINAPI</t>
  </si>
  <si>
    <t>9.08.05</t>
  </si>
  <si>
    <t xml:space="preserve">HASTE DE TERRA , D=5/8"X3000MM. COPPERWELD </t>
  </si>
  <si>
    <t>72251 - SINAPI</t>
  </si>
  <si>
    <t>9.08.06</t>
  </si>
  <si>
    <t xml:space="preserve">CABO DE COBRE NÚ, BITOLA 16MM² </t>
  </si>
  <si>
    <t>9.08.07</t>
  </si>
  <si>
    <t>MOLDE PARA SOLDA EXOTERMICA TIPO "X" PARA CABO 35 MM²</t>
  </si>
  <si>
    <t>9.08.08</t>
  </si>
  <si>
    <t>MOLDE PARA SOLDA EXOTERMICA TIPO "T" PARA CABO 35 MM²</t>
  </si>
  <si>
    <t>9.08.09</t>
  </si>
  <si>
    <t>MOLDE SOLDA HASTE</t>
  </si>
  <si>
    <t>13294 - SINAPI</t>
  </si>
  <si>
    <t>9.08.10</t>
  </si>
  <si>
    <t>PARAFUSO SEXTAVADO ROSCA SOBERBA ZINCADO 3/8" X 80MM</t>
  </si>
  <si>
    <t>4718 - ORSE</t>
  </si>
  <si>
    <t>9.08.11</t>
  </si>
  <si>
    <t>CAIXA DE INSPEÇÃO EM PVC 300MM</t>
  </si>
  <si>
    <t>9.08.12</t>
  </si>
  <si>
    <t>CARTUCHO PARA SOLDA EXOTÉRMICA 90</t>
  </si>
  <si>
    <t>9.08.13</t>
  </si>
  <si>
    <t>SOLDA PARA CABO 35X16MM² OU CONECTOR 35X16MM²</t>
  </si>
  <si>
    <t>09051 - ORSE</t>
  </si>
  <si>
    <t>9.08.14</t>
  </si>
  <si>
    <t>CAIXA DE EQUALIZAÇÃO P/ATERRAMENTO 20X20X10CM DE SOBREPOR P/11 TERMINAIS DE PRESSÃO C/BARRAMENTO</t>
  </si>
  <si>
    <t>72315 - SINAPI</t>
  </si>
  <si>
    <t>9.08.15</t>
  </si>
  <si>
    <t>TERMINAL AÉREO EM AÇO GALVANIZADO COM BASE DE FIXAÇÃO H=30CM</t>
  </si>
  <si>
    <t>72262 - SINAPI</t>
  </si>
  <si>
    <t>9.08.16</t>
  </si>
  <si>
    <t xml:space="preserve">CONECTOR DE PRESSÃO PARA CABO 35MM² </t>
  </si>
  <si>
    <t>6498 - ORSE</t>
  </si>
  <si>
    <t>9.08.17</t>
  </si>
  <si>
    <t>PRESILHA PARA CABO</t>
  </si>
  <si>
    <t>9.09</t>
  </si>
  <si>
    <t>DISPOSITIVOS DE PROTEÇÃO</t>
  </si>
  <si>
    <t>74130/001 - SINAPI</t>
  </si>
  <si>
    <t>9.09.01</t>
  </si>
  <si>
    <t xml:space="preserve">DISJUNTOR TERMOMAGNETICO MONOPOLAR PADRAO NEMA (AMERICANO) 10 A 30A 240V, FORNECIMENTO E INSTALACAO </t>
  </si>
  <si>
    <t>74130/004 - SINAPI</t>
  </si>
  <si>
    <t>9.09.02</t>
  </si>
  <si>
    <t xml:space="preserve">DISJUNTOR TERMOMAGNETICO TRIPOLAR PADRAO NEMA (AMERICANO) 10 A 50A 240V, FORNECIMENTO E INSTALACAO </t>
  </si>
  <si>
    <t>74130/005 - SINAPI</t>
  </si>
  <si>
    <t>9.09.03</t>
  </si>
  <si>
    <t>DISJUNTOR TERMOMAGNETICO TRIPOLAR PADRAO NEMA (AMERICANO) 60 A 100A 240V, FORNECIMENTO E INSTALACAO</t>
  </si>
  <si>
    <t>74130/006 - SINAPI</t>
  </si>
  <si>
    <t>9.09.04</t>
  </si>
  <si>
    <t>DISJUNTOR TERMOMAGNETICO TRIPOLAR PADRAO NEMA (AMERICANO) 125 A 150A 240V, FORNECIMENTO E INSTALACAO</t>
  </si>
  <si>
    <t>74130/010 - SINAPI</t>
  </si>
  <si>
    <t>9.09.05</t>
  </si>
  <si>
    <t>DISJUNTOR TERMOMAGNETICO TRIPOLAR EM CAIXA MOLDADA 175 A 225A 240V, TERMOMAGNETICO AJUSTÁVEL FORNECIMENTO E INSTALACAO</t>
  </si>
  <si>
    <t>9.09.06</t>
  </si>
  <si>
    <t>DISJUNTOR MONOPOLAR DR 10 A, DISPOSITIVO RESIDUAL DIFERENCIAL</t>
  </si>
  <si>
    <t>9.09.07</t>
  </si>
  <si>
    <t>DISJUNTOR MONOPOLAR DR 16 A, DISPOSITIVO RESIDUAL DIFERENCIAL</t>
  </si>
  <si>
    <t>9042 - ORSE</t>
  </si>
  <si>
    <t>9.09.08</t>
  </si>
  <si>
    <t>DISPOSITIVO DE PROTEÇÃO CONTRA SURTO DE TENSÃO DPS 20KA - 275V - CLASSE I</t>
  </si>
  <si>
    <t>09041 - ORSE</t>
  </si>
  <si>
    <t>9.09.09</t>
  </si>
  <si>
    <t>DISPOSITIVO DE PROTEÇÃO CONTRA SURTO DE TENSÃO DPS 20KA - 275V - CLASSE III</t>
  </si>
  <si>
    <t>9.10</t>
  </si>
  <si>
    <t>EQUIPAMENTOS DE ILUMINAÇÃO</t>
  </si>
  <si>
    <t>73953/001 - SINAPI</t>
  </si>
  <si>
    <t>9.10.01</t>
  </si>
  <si>
    <t xml:space="preserve">LUMINARIA TIPO CALHA, DE SOBREPOR, COM REATOR DE PARTIDA RAPIDA E LAMPADA FLUORESCENTE 1X20W, COMPLETA,   FORNECIMENTO E INSTALACAO </t>
  </si>
  <si>
    <t>08012 - ORSE</t>
  </si>
  <si>
    <t>9.10.02</t>
  </si>
  <si>
    <t>LUMINÁRIA EXTERNA TIPO ARANDELA, REF:CWA-377,TECNOLUX OU SIMILAR,P/FIXAÇÃO EM PAREDE, C/GLOBO LEITOSO, INCLUSIVE LÂMPADA FLUORESCENTE COMPACTA 26W</t>
  </si>
  <si>
    <t>07329 - ORSE</t>
  </si>
  <si>
    <t>9.10.03</t>
  </si>
  <si>
    <t>LUMINÁRIA DE SOBREPOR COM ALETAS, PARA LÂMPADA FLUORESCENTE, 2 X 32W, REF. TCS020232CIRL, DA PHILIPS, INCLUSIVE REATOR E LÂMPADA</t>
  </si>
  <si>
    <t>9.10.04</t>
  </si>
  <si>
    <t>09188 - ORSE</t>
  </si>
  <si>
    <t>9.10.05</t>
  </si>
  <si>
    <t>LUMINÁRIA FECHADA EM ALUMÍNIO, C/1 PÉTALA, P/ ILUMINAÇÃO DE AVENIDAS E PRAÇAS C/DIFUSOR ACRÍLICO, REF: ALPHA, TECNOWATT OU SIMILAR, INCLUSIVE SUPORTE FIXAÇÃO NO TOPO DO POSTE, REATOR E LÂMPADA DE SÓDIO 150W.</t>
  </si>
  <si>
    <t>03927 - ORSE</t>
  </si>
  <si>
    <t>9.10.06</t>
  </si>
  <si>
    <t xml:space="preserve">LUMINÁRIA 01 PÉTALA, P/ILUMINAÇÃO PÚBLICA, C/LÂMPADA VAPOR DE SÓDIO 250W, INCL.REATOR COM ALTO FATOR DE POTENCIA, IGNITOR,CAPACITOR E SUPORTE EM TUBO AÇO GALV, FAEL LUCE, REF MIRA VTP 40402 (OU SIMILAR) </t>
  </si>
  <si>
    <t>74246/001 - SINAPI</t>
  </si>
  <si>
    <t>9.10.07</t>
  </si>
  <si>
    <t>REFLETOR RETANGULAR FECHADO COM LAMPADA VAPOR METALICO 400W</t>
  </si>
  <si>
    <t>02975 - ORSE</t>
  </si>
  <si>
    <t>9.10.08</t>
  </si>
  <si>
    <t>FORNECIMENTO E IMPLANTAÇÃO DE RELÉ FOTO-ELÉTRICO EM POSTE</t>
  </si>
  <si>
    <t>9.10.10</t>
  </si>
  <si>
    <t>LUMINÁRIA DE PISO PARA LÂMPADA PAR 38</t>
  </si>
  <si>
    <t>LÂMPADA A VAPOR DE SÓDIO DE ALTA PRESSÃO 70 W (PHILLIPS REF SON 70W OU SIMILAR)</t>
  </si>
  <si>
    <t>336-ORSE</t>
  </si>
  <si>
    <t>POSTE DE FERRO GALVANIZADO DE 148mm x 8,00m</t>
  </si>
  <si>
    <t>9.11</t>
  </si>
  <si>
    <t>"RODAPÉ TÉCNICO ( ELÉTRICA TOMADAS E CABEAMENTO ESTRUTURADO)"</t>
  </si>
  <si>
    <t>9.11.01</t>
  </si>
  <si>
    <t>CANALETA DE CHAPA GALVANIZADA BASE 100X20 COM COMPRIMENTO DE 2M</t>
  </si>
  <si>
    <t>9.11.02</t>
  </si>
  <si>
    <t>DIVISOR EM CHAPA GALVANIZADA COMPRIMENTO DE 2M</t>
  </si>
  <si>
    <t>00330 - ORSE</t>
  </si>
  <si>
    <t>9.11.03</t>
  </si>
  <si>
    <t>POSTE CONCRETO DUPLO T 9/100</t>
  </si>
  <si>
    <t>9.11.04</t>
  </si>
  <si>
    <t>INSTALAÇÃO DE CENTRAL TELEFONICA PABX SIEMENS HIPATH 1190 - 8 LINHAS, 32 RAMAIS, IDENTIFICADOR DE CHAMADAS</t>
  </si>
  <si>
    <t>9.11.05</t>
  </si>
  <si>
    <t>INSTALAÇÃO DE APARELHO TELEFÔNICO DIGITAL OPENSTAGE 15 TDM</t>
  </si>
  <si>
    <t>9.11.06</t>
  </si>
  <si>
    <t>INSTALAÇÃO DE MESA OPERADORA</t>
  </si>
  <si>
    <t>9.11.07</t>
  </si>
  <si>
    <t>INSTALAÇÃO DE SWITCH 24 PORTAS GIGA 4P MINI GBIC SG2404SR INTELBRAS</t>
  </si>
  <si>
    <t>00734 - ORSE</t>
  </si>
  <si>
    <t>9.11.08</t>
  </si>
  <si>
    <t>TAMPA DE EXTREMIDADE PARA CANALETA RODAPÉ,"SISTEMA DLP", REF.333 44, PIAL LEGRAND OU SIMILAR</t>
  </si>
  <si>
    <t>9.11.09</t>
  </si>
  <si>
    <t>BASTIDOR/CALHA P/01 BLOCO BARGOA MULTITOC</t>
  </si>
  <si>
    <t>08361 - ORSE</t>
  </si>
  <si>
    <t>9.11.10</t>
  </si>
  <si>
    <t>MONTAGEM DE RACK TIPO ARMÁRIO 19" X 44U CAT. 5E</t>
  </si>
  <si>
    <t>08364 - ORSE</t>
  </si>
  <si>
    <t>9.11.11</t>
  </si>
  <si>
    <t>FORNECIMENTO E INSTALAÇÃO DE VOICE PANEL CAT. 3E</t>
  </si>
  <si>
    <t>9.11.12</t>
  </si>
  <si>
    <t>INSTALAÇÃO DE PATCH PANEL 24 PORTAS CAT. 6</t>
  </si>
  <si>
    <t>00719 - ORSE</t>
  </si>
  <si>
    <t>9.11.13</t>
  </si>
  <si>
    <t>FORNECIMENTO E INSTALAÇÃO DE PATH CORDS CAT.5E, CONECTOR RJ-45 MACHO, C/1,50M</t>
  </si>
  <si>
    <t>00698 -ORSE</t>
  </si>
  <si>
    <t>9.11.14</t>
  </si>
  <si>
    <t>FORNECIMENTO E COLOCAÇÃO DE ANILHAS PARA IDENTIFICAÇÃO</t>
  </si>
  <si>
    <t>04290 - ORSE</t>
  </si>
  <si>
    <t>9.11.15</t>
  </si>
  <si>
    <t>BLOCO IDC 110 DE 100 PARES</t>
  </si>
  <si>
    <t>08362 - ORSE</t>
  </si>
  <si>
    <t>9.11.16</t>
  </si>
  <si>
    <t>FORNECIMENTO E INSTALAÇÃO DE GUIA DE CABOS FECHADO 19" (1,00 M)</t>
  </si>
  <si>
    <t>9.11.17</t>
  </si>
  <si>
    <t>MOLDURA DE 2P</t>
  </si>
  <si>
    <t>9.12</t>
  </si>
  <si>
    <t>APARELHOS ELETRÔNICOS E ACESSÓRIOS</t>
  </si>
  <si>
    <t>9.12.01</t>
  </si>
  <si>
    <t>INSTALAÇÃO DE MESA DE SOM COM 8 CANAIS</t>
  </si>
  <si>
    <t>9.12.02</t>
  </si>
  <si>
    <t>INSTALAÇÃO DE AMPLIFICADOR 800WRMS</t>
  </si>
  <si>
    <t>9.12.03</t>
  </si>
  <si>
    <t>INSTALAÇÃO DE CAIXA DE SOM ACUSTICA 150 W</t>
  </si>
  <si>
    <t>08331 + 3973 - ORSE</t>
  </si>
  <si>
    <t>9.12.04</t>
  </si>
  <si>
    <t>CABO PARALELO 2X2,5MM2 PARA SOM</t>
  </si>
  <si>
    <t>08690 - ORSE</t>
  </si>
  <si>
    <t>9.12.05</t>
  </si>
  <si>
    <t>CABO DE FIBRA ÓTICA DE 6 VIAS</t>
  </si>
  <si>
    <t>73915/002 - SINAPI</t>
  </si>
  <si>
    <t>9.12.06</t>
  </si>
  <si>
    <t>PONTO DE TV SECO PARA EDIFICIOS</t>
  </si>
  <si>
    <t>9.12.07</t>
  </si>
  <si>
    <t>CABO DE MICROFONE PROFISSIONAL PLUGS CANNON</t>
  </si>
  <si>
    <t>9.12.08</t>
  </si>
  <si>
    <t>KIT PORTÃO ELETRÔNICO SEMI-INDUSTRIAL 1/2HP UNISYSTEM 220V</t>
  </si>
  <si>
    <t>9.12.09</t>
  </si>
  <si>
    <t>INSTALAÇÃO DE PROJETOR MULTIMIDIA VPL-ES7 (2000 ANSI LUMENS) - SONY</t>
  </si>
  <si>
    <t>9.12.10</t>
  </si>
  <si>
    <t>CABO VÍDEO VGA HD15 MACHO X MACHO - 2 M</t>
  </si>
  <si>
    <t>9.12.11</t>
  </si>
  <si>
    <t>9.12.12</t>
  </si>
  <si>
    <t>9.12.13</t>
  </si>
  <si>
    <t>INSTALAÇÃO DE CERCA ELÉTRICA</t>
  </si>
  <si>
    <t>9.12.14</t>
  </si>
  <si>
    <t>INSTALAÇÃO DE CENTRAL DE ALARME DE CERCA ELÉTRICA PARA MAIS QUE 1200 M DE FIO</t>
  </si>
  <si>
    <t>INSTALAÇÃO DE SIRENE DE CERCA ELÉTRICA</t>
  </si>
  <si>
    <t>INSTALAÇÃO DE BATERIA CERCA ELÉTRICA</t>
  </si>
  <si>
    <t>9.13</t>
  </si>
  <si>
    <t>CFTV</t>
  </si>
  <si>
    <t>06698 - ORSE</t>
  </si>
  <si>
    <t>9.13.01</t>
  </si>
  <si>
    <t>INSTALAÇÃO DE CÂMERA COLORIDA CCD DAY/NIGHT 1/3", MODELO SDC-415NA, 530 TVL, 12 VOLTS, SAMSUNG OU SIMILAR</t>
  </si>
  <si>
    <t>9.13.02</t>
  </si>
  <si>
    <t>INSTALAÇÃO DE CÂMERA INFRAVERMELHO 30M</t>
  </si>
  <si>
    <t>9.13.03</t>
  </si>
  <si>
    <t>INSTALAÇÃO DE PLACA DE CAPTURA DE IMAGEM DIGITAL GEOVISION GV 800, PARA ATÉ 16 CÂMERAS P&amp;B OU COLOR, OU SIMILAR</t>
  </si>
  <si>
    <t>10.0</t>
  </si>
  <si>
    <t>APARELHOS MECÂNICOS E ACESSÓRIOS</t>
  </si>
  <si>
    <t>04462 - ORSE</t>
  </si>
  <si>
    <t>10.01</t>
  </si>
  <si>
    <t>INSTALAÇÃO DE AR CONDICIONADO TIPO SPLIT 7000 BTU/H C/COMPRESSOR ROTATIVO</t>
  </si>
  <si>
    <t>04465 - ORSE</t>
  </si>
  <si>
    <t>10.02</t>
  </si>
  <si>
    <t>INSTALAÇÃO DE AR CONDICIONADO TIPO SPLIT 12000 BTU/H C/COMPRESSOR ROTATIVO</t>
  </si>
  <si>
    <t>04467 - ORSE</t>
  </si>
  <si>
    <t>10.03</t>
  </si>
  <si>
    <t>INSTALAÇÃO DE AR CONDICIONADO TIPO SPLIT 18000 BTU/H C/COMPRESSOR ROTATIVO</t>
  </si>
  <si>
    <t>04469 - ORSE</t>
  </si>
  <si>
    <t>10.04</t>
  </si>
  <si>
    <t>INSTALAÇÃO DE AR CONDICIONADO TIPO SPLIT 24000 BTU/H C/COMPRESSOR ROTATIVO</t>
  </si>
  <si>
    <t>04471 - ORSE</t>
  </si>
  <si>
    <t>10.05</t>
  </si>
  <si>
    <t>INSTALAÇÃO DE AR CONDICIONADO TIPO SPLIT 30000 BTU/H C/COMPRESSOR ROTATIVO</t>
  </si>
  <si>
    <t>04473 - ORSE</t>
  </si>
  <si>
    <t>10.06</t>
  </si>
  <si>
    <t>INSTALAÇÃO DE AR CONDICIONADO TIPO SPLIT 36000 BTU/H C/COMPRESSOR ROTATIVO</t>
  </si>
  <si>
    <t>04475 - ORSE</t>
  </si>
  <si>
    <t>10.07</t>
  </si>
  <si>
    <t>INSTALAÇÃO DE AR CONDICIONADO TIPO SPLIT 48000 BTU/H C/COMPRESSOR ROTATIVO</t>
  </si>
  <si>
    <t>04001 - ORSE</t>
  </si>
  <si>
    <t>10.08</t>
  </si>
  <si>
    <t>CABO DE COBRE PP CORDPLAST 4 X 2,5 MM2, 450/750V - FORNECIMENTO</t>
  </si>
  <si>
    <t>10.09</t>
  </si>
  <si>
    <t>TUBULAÇÃO FRIGORÍFICA EM COBRE FLEXÍVEL COM ISOLANTE TÉRMICO DE ESPUMA ELASTOMÉRICA, RECOBERTO COM PELÍCULA PROTETORA PE</t>
  </si>
  <si>
    <t>11.0</t>
  </si>
  <si>
    <t>TRATAMENTOS</t>
  </si>
  <si>
    <t>55960 - SINAPI</t>
  </si>
  <si>
    <t>11.01</t>
  </si>
  <si>
    <t>IMUNIZACAO MADEIRAMENTO COBERTURA COM IMUNIZANTE INCOLOR</t>
  </si>
  <si>
    <t>11.02</t>
  </si>
  <si>
    <t>IMPERMEABILIZAÇÃO</t>
  </si>
  <si>
    <t>73920/001 - SINAPI</t>
  </si>
  <si>
    <t>11.02.01</t>
  </si>
  <si>
    <t xml:space="preserve">REGULARIZACAO DE PISO/BASE EM ARGAMASSA TRACO 1:3 (CIMENTO E AREIA), ESPESSURA 2,0CM, PREPARO MANUAL </t>
  </si>
  <si>
    <t>73753/001 - SINAPI</t>
  </si>
  <si>
    <t>11.02.02</t>
  </si>
  <si>
    <t xml:space="preserve">IMPERMEABILIZACAO COM MANTA ASFALTICA ESPESSURA 3MM PROTEGIDA COM FILME DE ALUMINIO GOFRADO ESPESSURA 0,8MM, INCLUSO EMULSAO ASFALTICA </t>
  </si>
  <si>
    <t>12.0</t>
  </si>
  <si>
    <t>ESQUADRIAS</t>
  </si>
  <si>
    <t>12.01</t>
  </si>
  <si>
    <t>ESQUADRIAS DE MADEIRA</t>
  </si>
  <si>
    <t>07148 - ORSE</t>
  </si>
  <si>
    <t>12.01.01</t>
  </si>
  <si>
    <t>7101 - SINAPI</t>
  </si>
  <si>
    <t>12.01.02</t>
  </si>
  <si>
    <t xml:space="preserve">LAMINADO MELAMINICO LISO </t>
  </si>
  <si>
    <t>07005 - ORSE</t>
  </si>
  <si>
    <t>12.01.03</t>
  </si>
  <si>
    <t>PORTA MADEIRA COMPENSADA MDF, REVESTIDA COM LAMINADO MELAMINICO COR GELO - BANHEIROS PUBLICOS</t>
  </si>
  <si>
    <t>01778 - ORSE</t>
  </si>
  <si>
    <t>12.01.04</t>
  </si>
  <si>
    <t>MOLA HIDRÁULICA PARA PORTA DE MADEIRA (BRASIL OU SIMILAR)</t>
  </si>
  <si>
    <t>12.02</t>
  </si>
  <si>
    <t>ESQUADRIAS DE ALUMÍNIO</t>
  </si>
  <si>
    <t>08972 - ORSE</t>
  </si>
  <si>
    <t>12.02.01</t>
  </si>
  <si>
    <t>PERFIL DE ALUMINIO TIPO (I,T,U)</t>
  </si>
  <si>
    <t>74067/002 - SINAPI</t>
  </si>
  <si>
    <t>12.02.02</t>
  </si>
  <si>
    <t>ESQUADRIAS DE ALUMINIO PARA VIDRO, COM BANDEIRA</t>
  </si>
  <si>
    <t>12.03</t>
  </si>
  <si>
    <t>VIDROS</t>
  </si>
  <si>
    <t>08836 - ORSE</t>
  </si>
  <si>
    <t>12.03.01</t>
  </si>
  <si>
    <t xml:space="preserve">VIDRO TRANSLUCIDO INCOLOR 4MM </t>
  </si>
  <si>
    <t>01885 -ORSE</t>
  </si>
  <si>
    <t>12.03.02</t>
  </si>
  <si>
    <t>VIDRO TEMPERADO 10 MM, LISO, TRANSPARENTE, COM FERRAGENS</t>
  </si>
  <si>
    <t>08968 -ORSE</t>
  </si>
  <si>
    <t>12.03.03</t>
  </si>
  <si>
    <t>VISOR EM ALUMINIO COM VIDRO TEMPERADO 6MM</t>
  </si>
  <si>
    <t>12.04</t>
  </si>
  <si>
    <t>ESQUADRIAS DE FERRO</t>
  </si>
  <si>
    <t>73933/002 - SINAPI</t>
  </si>
  <si>
    <t>12.04.01</t>
  </si>
  <si>
    <t xml:space="preserve">PORTAS  E PORTÕES DE FERRO </t>
  </si>
  <si>
    <t>03505 + 1853 - ORSE</t>
  </si>
  <si>
    <t>12.04.02</t>
  </si>
  <si>
    <t>BARRA DE FERRO VERTICAL DE 1" ESPAÇAMENTO A CADA 10CM (JANELA DA CELA)</t>
  </si>
  <si>
    <t>12.04.03</t>
  </si>
  <si>
    <t>ORSE - 3666</t>
  </si>
  <si>
    <t>12.04.04</t>
  </si>
  <si>
    <t>PORTÃO EM NYLOFOR 3D</t>
  </si>
  <si>
    <t>7340 - ORSE</t>
  </si>
  <si>
    <t>12.04.05</t>
  </si>
  <si>
    <t>GRADE DE PROTEÇÃO C/ BARRA HORIZONTAL CHATA DE 1 1/2" X 5/16" E BARRA VERTICAL REDONDA DE 5/8" A CADA 10CM (JANELAS)</t>
  </si>
  <si>
    <t>12.04.06</t>
  </si>
  <si>
    <t>GRADIL NYLOFOR 3D H=1,60M, CHUMBADO</t>
  </si>
  <si>
    <t>1851 - ORSE</t>
  </si>
  <si>
    <t>12.04.07</t>
  </si>
  <si>
    <t>GRADE TUBO FERRO GALVANIZADO 1 1/2" (DEPÓSITO DE ARMAS)</t>
  </si>
  <si>
    <t>13.0</t>
  </si>
  <si>
    <t>REVESTIMENTOS</t>
  </si>
  <si>
    <t>73928/001 - SINAPI</t>
  </si>
  <si>
    <t>13.01</t>
  </si>
  <si>
    <t>CHAPISCO EM PAREDES TRACO 1:4 (CIMENTO E AREIA), ESPESSURA 0,5CM, PREPARO MANUAL</t>
  </si>
  <si>
    <t>5993 - SINAPI</t>
  </si>
  <si>
    <t>13.02</t>
  </si>
  <si>
    <t>EMBOCO TRACO 1:2:8 (CIMENTO, CAL E AREIA), ESPESSURA 2,0CM, PREPARO MECANICO</t>
  </si>
  <si>
    <t>74201/001 - SINAPI</t>
  </si>
  <si>
    <t>13.03</t>
  </si>
  <si>
    <t>REBOCO PAULISTA (MASSA UNICA) TRACO 1:2:8 (CIMENTO, CAL E AREIA), ESPESSURA 2,0CM, PREPARO MECANICO</t>
  </si>
  <si>
    <t>5996 - SINAPI</t>
  </si>
  <si>
    <t>13.04</t>
  </si>
  <si>
    <t>REBOCO PARA TETOS TRACO 1:4,5 (CAL E AREIA), ESPESSURA 2,0CM, PREPARO MECANICO</t>
  </si>
  <si>
    <t>13.05</t>
  </si>
  <si>
    <t>REVESTIMENTO CERÂMICO EM PAREDES</t>
  </si>
  <si>
    <t>02815 + 9118 - ORSE</t>
  </si>
  <si>
    <t>13.05.01</t>
  </si>
  <si>
    <t>REVEST. P/ PAREDE COM CERÂMICA 10X10CM, PEI-3, ELIANE, LINHA ARQUITETURAL NEVE OU SIMILAR, APLICADO COM ARGAMASSA INDUSTRIALIZADA AC-III, REJUNTADO, EXCLUSIVE REGULARIZAÇÃO DE BASE OU EMBOÇO  (PAREDE EXTERNA, ACESSO PRINCIPAL)</t>
  </si>
  <si>
    <t>08935 + 9118 ORSE</t>
  </si>
  <si>
    <t>13.05.02</t>
  </si>
  <si>
    <t>REVEST. P/ PAREDE COM CERÂMICA 10X10CM, PEI - 1, ELIANE, LINHA ARQUITETURAL CEREJA MESH OU SIMILAR, APLICADO COM ARGAMASSA INDUSTRIALIZADA AC-III, REJUNTADO, EXCLUSIVE REGULARIZAÇÃO DE BASE OU EMBOÇO  (AC. PRINCIPAL, FAC. LAT. DIREITA E PLATIBANDA ALTO)</t>
  </si>
  <si>
    <r>
      <rPr>
        <b/>
        <sz val="11"/>
        <rFont val="Calibri"/>
        <family val="2"/>
      </rPr>
      <t xml:space="preserve">10052 </t>
    </r>
    <r>
      <rPr>
        <b/>
        <sz val="11"/>
        <color indexed="8"/>
        <rFont val="Calibri"/>
        <family val="2"/>
      </rPr>
      <t>+ 9118 - ORSE</t>
    </r>
  </si>
  <si>
    <t>13.05.03</t>
  </si>
  <si>
    <t>REVEST. P/ PAREDE COM CERÂMICA 40 X 40 CM, PEI-4, PORTOBELLO, CETIM BIANCO OU SIMILAR,APLICADO COM ARGAMASSA INDUSTRIALIZADA AC-III, REJUNTADO, EXCLUSIVE REGULARIZAÇÃO DE BASE OU EMBOÇO (COPA, CELA, SERVIÇO E BANHEIROS)</t>
  </si>
  <si>
    <t>7403 + 9118 - ORSE</t>
  </si>
  <si>
    <t>13.05.04</t>
  </si>
  <si>
    <t>REVEST. P/ PAREDE COM CERÂMICA 60 X 60 CM, ELIANE, LINHA BIANCO PLUS POLIDO (PORCELANATO) OU SIMILAR, APLICADO COM ARGAMASSA INDUSTRIALIZADA AC-III, REJUNTADO, EXCLUSIVE REGULARIZAÇÃO DE BASE OU EMBOÇO (ESPERA E CIRCULAÇÕES)</t>
  </si>
  <si>
    <t>13.05.05</t>
  </si>
  <si>
    <t>CERÂMICA RETANGULAR ECODECOR BRULE 20X120 RD RET COM REJUNTE FLEXÍVEL DA COR DO REVESTIMENTO (FACHADAS PRINCIPAL, LATERAL DIREITA E ESQUERDA)</t>
  </si>
  <si>
    <t>14.0</t>
  </si>
  <si>
    <t>PISOS</t>
  </si>
  <si>
    <t>14.01</t>
  </si>
  <si>
    <t>9691 - SINAPI</t>
  </si>
  <si>
    <t>14.02</t>
  </si>
  <si>
    <t>GRANILITE DE ESPESSURA 10MM, JUNTA DE DILATAÇÃO C/FILETES DE VIDRO 4MM A CADA 1,00MM(POLIDO E APLICAÇÃO DE RESINA)</t>
  </si>
  <si>
    <t>73850/001 - SINAPI</t>
  </si>
  <si>
    <t>14.03</t>
  </si>
  <si>
    <t xml:space="preserve">RODAPÉ DE GRANILITE </t>
  </si>
  <si>
    <t>73892/001 - SINAPI</t>
  </si>
  <si>
    <t>14.04</t>
  </si>
  <si>
    <t>CIMENTADO COM 7,0CM DE ESPESSURA DE CONCRETO MAGRO COM DUAS DEMÃOS DE TINTA NA COR CINZA CLARO</t>
  </si>
  <si>
    <t>14.05</t>
  </si>
  <si>
    <t>REVESTIMENTO CERÂMICO PARA PISO</t>
  </si>
  <si>
    <t>02517 + 9118 - ORSE</t>
  </si>
  <si>
    <t>14.05.01</t>
  </si>
  <si>
    <t>PISO CERÂMICO 45 X 45 CM, PORTOBELLO, LINHA D´AMPEZZO PORCELANATO AVANA OU SIMILAR, APLICADO COM ARGAMASSA INDUSTRIALIZADA AC-I, REJUNTADO, EXCLUSIVE REGULARIZAÇÃO DE BASE OU EMBOÇO</t>
  </si>
  <si>
    <t>14.06</t>
  </si>
  <si>
    <t>MEIO FIO E BLOCO DE CONCRETO</t>
  </si>
  <si>
    <t>74223/001 - SINAPI</t>
  </si>
  <si>
    <t>14.06.01</t>
  </si>
  <si>
    <t>MEIO-FIO (GUIA) DE CONCRETO PRE-MOLDADO, DIMENSÕES 12X15X30X100CM (FACE SUPERIORXFACE INFERIORXALTURAXCOMPRIMENTO),REJUNTADO C/ARGAMASSA 1:4CIMENTO:AREIA, INCLUINDO ESCAVAÇÃO E REATERRO.</t>
  </si>
  <si>
    <t>73764/005 - SINAPI</t>
  </si>
  <si>
    <t>14.06.02</t>
  </si>
  <si>
    <t xml:space="preserve">PAVIMENTACAO EM BLOCOS INTERTRAVADOS DE CONCRETO, ESPESSURA 8CM, FCK 35MPA, ASSENTADOS SOBRE COLCHAO DE AREIA. </t>
  </si>
  <si>
    <t>0075 - ORSE</t>
  </si>
  <si>
    <t>14.07</t>
  </si>
  <si>
    <t>CASCALHO (PIÇARRA BRANCA) APLICADO</t>
  </si>
  <si>
    <t>14.08</t>
  </si>
  <si>
    <t>JARDIM</t>
  </si>
  <si>
    <t>02396 - ORSE</t>
  </si>
  <si>
    <t>14.08.01</t>
  </si>
  <si>
    <t>GRAMA ESMERALDA EM PLACAS, FORNECIMENTO E PLANTIO</t>
  </si>
  <si>
    <t>359 - SINAPI</t>
  </si>
  <si>
    <t>14.08.02</t>
  </si>
  <si>
    <t>ARVORE REGIONAL MAIOR QUE 2M</t>
  </si>
  <si>
    <t>73967/002 - SINAPI</t>
  </si>
  <si>
    <t>14.08.03</t>
  </si>
  <si>
    <t>PLANTIO DE ARVORE COM ALTURA MAIOR DO QUE 2,00 METROS</t>
  </si>
  <si>
    <t>15.0</t>
  </si>
  <si>
    <t>PINTURAS</t>
  </si>
  <si>
    <t>15.01</t>
  </si>
  <si>
    <t>PINTURA A BASE DE PVA SOBRE EMASSAMENTO</t>
  </si>
  <si>
    <t>73955/002 - SINAPI</t>
  </si>
  <si>
    <t>15.01.01</t>
  </si>
  <si>
    <t xml:space="preserve">EMASSAMENTO COM MASSA LATEX PVA PARA AMBIENTES INTERNOS, DUAS DEMAOS </t>
  </si>
  <si>
    <t>73750/001 - SINAPI</t>
  </si>
  <si>
    <t>15.01.02</t>
  </si>
  <si>
    <t>PINTURA LATEX PVA AMBIENTES INTERNOS, DUAS DEMAOS -</t>
  </si>
  <si>
    <t>15.02</t>
  </si>
  <si>
    <t>PINTURA ACRÍLICA SOBRE EMASSAMENTO</t>
  </si>
  <si>
    <t>74134/002 - SINAPI</t>
  </si>
  <si>
    <t>15.02.01</t>
  </si>
  <si>
    <t>EMASSAMENTO COM MASSA ACRILICA PARA AMBIENTES INTERNOS/EXTERNOS, DUAS DEMÃOS</t>
  </si>
  <si>
    <t>73954/002 - SINAPI</t>
  </si>
  <si>
    <t>15.02.02</t>
  </si>
  <si>
    <t>PINTURA LATEX ACRILICA AMBIENTES INTERNOS/EXTERNOS, DUAS DEMAOS</t>
  </si>
  <si>
    <t>74065/001 - SINAPI</t>
  </si>
  <si>
    <t>15.03</t>
  </si>
  <si>
    <t xml:space="preserve">PINTURA ESMALTE FOSCO PARA MADEIRA, DUAS DEMAOS, INCLUSO APARELHAMENTO COM FUNDO NIVELADOR BRANCO FOSCO </t>
  </si>
  <si>
    <t>73924/002 - SINAPI</t>
  </si>
  <si>
    <t>15.04</t>
  </si>
  <si>
    <t xml:space="preserve">PINTURA ESMALTE 2 DEMAOS P/ESQUADRIA FERRO </t>
  </si>
  <si>
    <t>72947 - SINAPI</t>
  </si>
  <si>
    <t>15.05</t>
  </si>
  <si>
    <t>SINALIZACAO HORIZONTAL COM TINTA RETRORREFLETIVA A BASE DE RESINA ACRILICA COM  MICROESFERAS DE VIDRO</t>
  </si>
  <si>
    <t>16.0</t>
  </si>
  <si>
    <t>ELEMENTOS DECORATIVOS</t>
  </si>
  <si>
    <t>16.01</t>
  </si>
  <si>
    <t>BANCADAS DE GRANITO E RODAMÃO</t>
  </si>
  <si>
    <t>11792 - SINAPI + 5051 - ORSE</t>
  </si>
  <si>
    <t>16.01.01</t>
  </si>
  <si>
    <t xml:space="preserve">BANCADA EM GRANITO PRETO TIJUCA 3CM, POLIDO </t>
  </si>
  <si>
    <t>01775 - ORSE</t>
  </si>
  <si>
    <t>16.01.02</t>
  </si>
  <si>
    <t>RODAMÃO DE MADEIRA</t>
  </si>
  <si>
    <t>16.02</t>
  </si>
  <si>
    <t>DIVISÓRIAS</t>
  </si>
  <si>
    <t>04304 - ORSE</t>
  </si>
  <si>
    <t>16.02.01</t>
  </si>
  <si>
    <t xml:space="preserve">DIVISÓRIA EM GRANITO PRETO 3CM, INCLUSIVE MONTAGEM COM FERRAGENS </t>
  </si>
  <si>
    <t>16.03</t>
  </si>
  <si>
    <t>PLACA E BARRAS</t>
  </si>
  <si>
    <t>02390 - ORSE</t>
  </si>
  <si>
    <t>16.03.01</t>
  </si>
  <si>
    <t xml:space="preserve">BARRA DE APOIO EM AÇO INOX POLIDO, L=90CM,  D=38.1 MM </t>
  </si>
  <si>
    <t>04420 - ORSE</t>
  </si>
  <si>
    <t>16.04</t>
  </si>
  <si>
    <t>BANCO E PRATELEIRA DE CONCRETO EM ALVENARIA DE TIJOLOS MACIÇOS, ASSENTO EM CONCRETO SIMPLES, SEM ENCOSTO, REVESTIDO EM TODAS AS FACES COM CERÂMICA ELIZABETH 20X20 CM OU SIMILAR</t>
  </si>
  <si>
    <t xml:space="preserve">08759 - ORSE </t>
  </si>
  <si>
    <t>16.05</t>
  </si>
  <si>
    <t>CORRIMÃO EM AÇO INOX ø=1 1/2",DUPLO, h=90cm</t>
  </si>
  <si>
    <t>74125/002 - SINAPI</t>
  </si>
  <si>
    <t>16.06</t>
  </si>
  <si>
    <t>ESPELHO CRISTAL ESPESSURA 4MM, COM MOLDURA EM ALUMINIO E COMPENSADO 6MM PLASTIFICADO COLADO</t>
  </si>
  <si>
    <t>16.07</t>
  </si>
  <si>
    <t>BASE E MASTROS PARA BANDEIRA</t>
  </si>
  <si>
    <t>73976/011 - SINAPI</t>
  </si>
  <si>
    <t>16.07.01</t>
  </si>
  <si>
    <t>MASTRO SIMPLES EM TUBO DE AÇO GALVANIZADO 6"  H= 2X7,2M E 2X6,8M</t>
  </si>
  <si>
    <t>02437 - ORSE</t>
  </si>
  <si>
    <t>16.07.02</t>
  </si>
  <si>
    <t>BASE PARA FIXAÇÃO DE MASTRO QUADRUPLO</t>
  </si>
  <si>
    <t>16.08</t>
  </si>
  <si>
    <t>PÉRGOLAS EM CONCRETO PRÉ-MOLDADO (10X10CM)</t>
  </si>
  <si>
    <t>16.09</t>
  </si>
  <si>
    <t>ACESSIBILIDADE PARA DEFICIENTES</t>
  </si>
  <si>
    <t>07323 - ORSE</t>
  </si>
  <si>
    <t>16.09.01</t>
  </si>
  <si>
    <t>PAVIMENTAÇÃO COM PISO TATIL DIRECIONAL E/OU ALERTA, EM BORRACHA, P/DEFICIENTES VISUAIS, DIMENSÕES 25X25CM, APLICADO, REJUNTADO, EXCLUSIVE REGULARIZAÇÃO DE BASE</t>
  </si>
  <si>
    <t>04864 - ORSE</t>
  </si>
  <si>
    <t>16.09.02</t>
  </si>
  <si>
    <t>PAVIMENTAÇÃO COM PISO TATIL DIRECIONAL E/OU ALERTA, DE CONCRETO, P/DEFICIENTES VISUAIS, DIMENSÕES 30X30CM, APLICADO COM ARGAMASSA INDUSTRIALIZADA AC-II, REJUNTADO, EXCLUSIVE REGULARIZAÇÃO DE BASE</t>
  </si>
  <si>
    <t>07318 - ORSE</t>
  </si>
  <si>
    <t>16.09.03</t>
  </si>
  <si>
    <t>SINALIZAÇÃO PARA DEFICIENTES - ANEL DE BORRACHA PARA GUIA DE DEFICIENTE EM CORRIMÃO</t>
  </si>
  <si>
    <t>17.0</t>
  </si>
  <si>
    <t>SERVIÇOS COMPLEMENTARES</t>
  </si>
  <si>
    <t>9537 - SINAPI</t>
  </si>
  <si>
    <t>17.01</t>
  </si>
  <si>
    <t>LIMPEZA FINAL DA OBRA</t>
  </si>
  <si>
    <t>WC. MASC./FEM. PÚBLICO</t>
  </si>
  <si>
    <t>TRIBUNAL DO JÚRI</t>
  </si>
  <si>
    <t>DEPÓSITO DE APREENSÕES</t>
  </si>
  <si>
    <t>SALA DE RECONHECIMENTO DE TESTEMUNHAS</t>
  </si>
  <si>
    <t>SALA DO SUSPEITO</t>
  </si>
  <si>
    <t>CELA</t>
  </si>
  <si>
    <t>DEPÓSITO DE ARMAS</t>
  </si>
  <si>
    <t>SALA DE AUDIÊNCIA</t>
  </si>
  <si>
    <t>SALA JUIZ</t>
  </si>
  <si>
    <t>WC JUIZ</t>
  </si>
  <si>
    <t>ASSESSORIA JUIZ</t>
  </si>
  <si>
    <t>DML</t>
  </si>
  <si>
    <t>COPA</t>
  </si>
  <si>
    <t>LADO SUPERIOR DIREITO</t>
  </si>
  <si>
    <t>WC. FUNC. MASC./FEM.</t>
  </si>
  <si>
    <t>SECRETARIA</t>
  </si>
  <si>
    <t>CENTRAL TÉCNICA</t>
  </si>
  <si>
    <t>JARDIM DE INVERNO</t>
  </si>
  <si>
    <t>RECEPÇÃO</t>
  </si>
  <si>
    <t>OAB</t>
  </si>
  <si>
    <t>DEFENSORIA</t>
  </si>
  <si>
    <t>PROMOTORIA</t>
  </si>
  <si>
    <t>WC.</t>
  </si>
  <si>
    <t>ESPERA</t>
  </si>
  <si>
    <t>FACHADA LATERAL DIREITA</t>
  </si>
  <si>
    <t>FACHADA PRINCIPAL</t>
  </si>
  <si>
    <t>FACHADA LATERAL ESQUERDA</t>
  </si>
  <si>
    <t>FACHADA POSTERIOR</t>
  </si>
  <si>
    <t>PLATIBANDAS</t>
  </si>
  <si>
    <t>MUROS</t>
  </si>
  <si>
    <t>TOTAL</t>
  </si>
  <si>
    <t>HALL</t>
  </si>
  <si>
    <t>CIRCULAÇÃO</t>
  </si>
  <si>
    <t>ENTRADA</t>
  </si>
  <si>
    <t>RAMPA</t>
  </si>
  <si>
    <t>ÁREA EXTERNA</t>
  </si>
  <si>
    <t>ARQUIVO</t>
  </si>
  <si>
    <t>9.10.09</t>
  </si>
  <si>
    <t>7.03</t>
  </si>
  <si>
    <t>TANQUE SÉPTICO, SUMIDOURO E CAIXA DE DISTRIBUIÇÃO</t>
  </si>
  <si>
    <t>06519 - SINAPI</t>
  </si>
  <si>
    <t>7.03.01</t>
  </si>
  <si>
    <t>ALVENARIA EM TIJOLO CERAMICO MACICO 5X10X20CM 1 VEZ (ESPESSURA 20CM),  ASSENTADO COM ARGAMASSA TRACO 1:2:8 (CIMENTO, CAL E AREIA)</t>
  </si>
  <si>
    <t>73965/010 - SINAPI</t>
  </si>
  <si>
    <t>7.03.02</t>
  </si>
  <si>
    <t>ESCAVAÇÃO MANUAL DE VALA EM MATERIAL DE 1A CATEGORIA ATE 1,5M  , EXCLUINDO ESGOTAMENTO/ESCORAMENTO</t>
  </si>
  <si>
    <t>73965/011 - SINAPI</t>
  </si>
  <si>
    <t>7.03.03</t>
  </si>
  <si>
    <t xml:space="preserve">ESCAVACAO MANUAL DE VALA EM   MATERIAL DE 1A CATEGORIA   DE 1,5 ATE 3M EXCLUINDO ESGOTAMENTO / ESCORAMENTO </t>
  </si>
  <si>
    <t>06427 - SINAPI</t>
  </si>
  <si>
    <t>7.03.04</t>
  </si>
  <si>
    <t>CONCRETO ARMADO FCK = 15 MPA, PREPARO C/ BETONEIRA, INCLUI LANCAMENTO, PARA TAMPAS</t>
  </si>
  <si>
    <t>7.03.05</t>
  </si>
  <si>
    <t>74164/004 - SINAPI</t>
  </si>
  <si>
    <t>7.03.06</t>
  </si>
  <si>
    <t>LASTRO DE BRITA Nº 3 (ESPESSURAS:  SUMIDOURO 30CM)</t>
  </si>
  <si>
    <t>03165 - ORSE</t>
  </si>
  <si>
    <t>LUMINÁRIA 02 PÉTALAS, P/ILUMINAÇÃO PÚBLICA, C/LÂMPADA VAPOR DE SÓDIO 250W, INCL.REATOR, IGNITOR, CAPACITOR E SUPORTE EM TUBO AÇO GALV, FAEL LUCE, REF MIRA VTP 40487 (OU SIMILAR)</t>
  </si>
  <si>
    <t>0596 - ORSE</t>
  </si>
  <si>
    <t>9.10.11</t>
  </si>
  <si>
    <t>73786/003 - SINAPI</t>
  </si>
  <si>
    <t>16.10</t>
  </si>
  <si>
    <t>TUBO DE AÇO GALVANIZADO, SEM CONEXÕES COM COSTURA Ø32MM (1.1/4") - FORNECIMENTO E INSTALAÇÃO(BICICLETARIO)</t>
  </si>
  <si>
    <t>02397 - ORSE</t>
  </si>
  <si>
    <t>FORNECIMENTO E PLANTIO DE ARBUSTOS ORNAMENTAIS</t>
  </si>
  <si>
    <t>73788/001 - SINAPI</t>
  </si>
  <si>
    <t>PLANTIO ARBUSTO DE H=0.5 A 0.7M COM 12 UNID/M2, APENAS MÃO DE OBRA, EXCLUSO O FORNECIMENTO DA MUDA E DO ADUBO</t>
  </si>
  <si>
    <t>14.08.04</t>
  </si>
  <si>
    <t>14.08.05</t>
  </si>
  <si>
    <t>74140/001 - SINAPI</t>
  </si>
  <si>
    <t xml:space="preserve">CARGA, TRANSPORTE E DESCARGA MECANICA </t>
  </si>
  <si>
    <r>
      <t xml:space="preserve">OBRA: </t>
    </r>
    <r>
      <rPr>
        <sz val="11"/>
        <color indexed="8"/>
        <rFont val="Calibri"/>
        <family val="2"/>
      </rPr>
      <t>CONSTRUÇÃO DO FÓRUM DA COMARCA DE CACIMBINHAS</t>
    </r>
  </si>
  <si>
    <r>
      <t xml:space="preserve">LOCALIDADE: </t>
    </r>
    <r>
      <rPr>
        <sz val="11"/>
        <color indexed="8"/>
        <rFont val="Calibri"/>
        <family val="2"/>
      </rPr>
      <t>CACIMBINHAS - ALAGOAS</t>
    </r>
  </si>
  <si>
    <t>FÓRUM DA COMARCA - CACIMBINHAS/AL</t>
  </si>
  <si>
    <t>PORTA EM MADEIRA COMPENSADA (CANELA), LISA, SEMI-ÔCA, 2,00X2,10M, COM DUAS FOLHAS, INCLUSIVE BATENTES E FERRAGENS.</t>
  </si>
  <si>
    <t>PORTÃO EM TUBO DE AÇO GALVANIZADO COM QUADRO DE DN 1 1/4", E BARRAS VERTICAIS DE DN 1" A CADA 10CM.</t>
  </si>
  <si>
    <t>08702 - ORSE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</si>
</sst>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b/>
      <sz val="11"/>
      <name val="Calibri"/>
      <family val="2"/>
    </font>
    <font>
      <sz val="12"/>
      <color indexed="8"/>
      <name val="Times New Roman"/>
      <family val="1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0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left" vertical="center" wrapText="1"/>
    </xf>
    <xf numFmtId="0" fontId="0" fillId="0" borderId="4" xfId="0" applyBorder="1"/>
    <xf numFmtId="0" fontId="0" fillId="0" borderId="0" xfId="0" applyFill="1" applyBorder="1"/>
    <xf numFmtId="49" fontId="0" fillId="0" borderId="5" xfId="0" applyNumberForma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2" borderId="1" xfId="0" applyFill="1" applyBorder="1"/>
    <xf numFmtId="0" fontId="8" fillId="2" borderId="1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/>
    <xf numFmtId="2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/>
    <xf numFmtId="0" fontId="0" fillId="2" borderId="0" xfId="0" applyFill="1" applyBorder="1"/>
    <xf numFmtId="2" fontId="8" fillId="2" borderId="1" xfId="0" applyNumberFormat="1" applyFon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5699"/>
  <sheetViews>
    <sheetView tabSelected="1" zoomScaleNormal="100" workbookViewId="0">
      <selection activeCell="J366" sqref="J366"/>
    </sheetView>
  </sheetViews>
  <sheetFormatPr defaultRowHeight="15" x14ac:dyDescent="0.25"/>
  <cols>
    <col min="1" max="1" width="9.7109375" customWidth="1"/>
    <col min="2" max="2" width="8.5703125" customWidth="1"/>
    <col min="3" max="3" width="55.140625" customWidth="1"/>
    <col min="4" max="4" width="5.7109375" bestFit="1" customWidth="1"/>
    <col min="5" max="5" width="11.42578125" customWidth="1"/>
    <col min="6" max="6" width="10.140625" customWidth="1"/>
    <col min="7" max="7" width="12.5703125" customWidth="1"/>
    <col min="12" max="12" width="12" customWidth="1"/>
    <col min="19" max="19" width="9.7109375" customWidth="1"/>
    <col min="24" max="24" width="10" customWidth="1"/>
    <col min="27" max="27" width="10" customWidth="1"/>
    <col min="30" max="30" width="9.85546875" customWidth="1"/>
    <col min="31" max="31" width="11" customWidth="1"/>
    <col min="32" max="32" width="10.5703125" customWidth="1"/>
    <col min="33" max="33" width="11" customWidth="1"/>
    <col min="40" max="40" width="9.140625" style="48"/>
    <col min="42" max="42" width="9.5703125" style="42" bestFit="1" customWidth="1"/>
    <col min="43" max="43" width="9.140625" style="41"/>
    <col min="44" max="64" width="9.140625" style="37"/>
  </cols>
  <sheetData>
    <row r="1" spans="1:64" ht="21" x14ac:dyDescent="0.25">
      <c r="A1" s="70" t="s">
        <v>1190</v>
      </c>
      <c r="B1" s="70"/>
      <c r="C1" s="70"/>
      <c r="D1" s="70"/>
    </row>
    <row r="2" spans="1:64" ht="21" x14ac:dyDescent="0.25">
      <c r="A2" s="70" t="s">
        <v>0</v>
      </c>
      <c r="B2" s="70"/>
      <c r="C2" s="70"/>
      <c r="D2" s="70"/>
    </row>
    <row r="3" spans="1:64" x14ac:dyDescent="0.25">
      <c r="A3" s="1"/>
      <c r="B3" s="2"/>
      <c r="C3" s="3"/>
      <c r="D3" s="3"/>
    </row>
    <row r="4" spans="1:64" ht="18.75" x14ac:dyDescent="0.25">
      <c r="A4" s="1"/>
      <c r="B4" s="4"/>
      <c r="C4" s="71" t="s">
        <v>1</v>
      </c>
      <c r="D4" s="71"/>
    </row>
    <row r="5" spans="1:64" x14ac:dyDescent="0.25">
      <c r="A5" s="72" t="s">
        <v>1188</v>
      </c>
      <c r="B5" s="72"/>
      <c r="C5" s="72"/>
      <c r="D5" s="72"/>
    </row>
    <row r="6" spans="1:64" ht="15" customHeight="1" x14ac:dyDescent="0.25">
      <c r="A6" s="72" t="s">
        <v>1189</v>
      </c>
      <c r="B6" s="72"/>
      <c r="C6" s="72"/>
      <c r="D6" s="72"/>
    </row>
    <row r="7" spans="1:64" ht="15" customHeight="1" x14ac:dyDescent="0.25">
      <c r="A7" s="31"/>
      <c r="B7" s="31"/>
      <c r="C7" s="31"/>
      <c r="D7" s="31"/>
    </row>
    <row r="8" spans="1:64" s="36" customFormat="1" ht="90" x14ac:dyDescent="0.25">
      <c r="A8" s="6" t="s">
        <v>2</v>
      </c>
      <c r="B8" s="6" t="s">
        <v>3</v>
      </c>
      <c r="C8" s="35" t="s">
        <v>4</v>
      </c>
      <c r="D8" s="6" t="s">
        <v>5</v>
      </c>
      <c r="E8" s="36" t="s">
        <v>1117</v>
      </c>
      <c r="F8" s="36" t="s">
        <v>1118</v>
      </c>
      <c r="G8" s="36" t="s">
        <v>1119</v>
      </c>
      <c r="H8" s="36" t="s">
        <v>1120</v>
      </c>
      <c r="I8" s="36" t="s">
        <v>1121</v>
      </c>
      <c r="J8" s="36" t="s">
        <v>1122</v>
      </c>
      <c r="K8" s="36" t="s">
        <v>1123</v>
      </c>
      <c r="L8" s="36" t="s">
        <v>1124</v>
      </c>
      <c r="M8" s="36" t="s">
        <v>1125</v>
      </c>
      <c r="N8" s="36" t="s">
        <v>1126</v>
      </c>
      <c r="O8" s="36" t="s">
        <v>1127</v>
      </c>
      <c r="P8" s="36" t="s">
        <v>1128</v>
      </c>
      <c r="Q8" s="36" t="s">
        <v>1129</v>
      </c>
      <c r="R8" s="36" t="s">
        <v>1153</v>
      </c>
      <c r="S8" s="36" t="s">
        <v>1130</v>
      </c>
      <c r="T8" s="36" t="s">
        <v>1131</v>
      </c>
      <c r="U8" s="36" t="s">
        <v>1132</v>
      </c>
      <c r="V8" s="36" t="s">
        <v>1133</v>
      </c>
      <c r="W8" s="36" t="s">
        <v>1134</v>
      </c>
      <c r="X8" s="36" t="s">
        <v>1135</v>
      </c>
      <c r="Y8" s="36" t="s">
        <v>1136</v>
      </c>
      <c r="Z8" s="36" t="s">
        <v>1137</v>
      </c>
      <c r="AA8" s="36" t="s">
        <v>1138</v>
      </c>
      <c r="AB8" s="36" t="s">
        <v>1139</v>
      </c>
      <c r="AC8" s="36" t="s">
        <v>1140</v>
      </c>
      <c r="AD8" s="36" t="s">
        <v>1141</v>
      </c>
      <c r="AE8" s="36" t="s">
        <v>1142</v>
      </c>
      <c r="AF8" s="36" t="s">
        <v>1143</v>
      </c>
      <c r="AG8" s="36" t="s">
        <v>1144</v>
      </c>
      <c r="AH8" s="36" t="s">
        <v>1145</v>
      </c>
      <c r="AI8" s="36" t="s">
        <v>1146</v>
      </c>
      <c r="AJ8" s="36" t="s">
        <v>1148</v>
      </c>
      <c r="AK8" s="36" t="s">
        <v>1149</v>
      </c>
      <c r="AL8" s="36" t="s">
        <v>1150</v>
      </c>
      <c r="AM8" s="36" t="s">
        <v>1151</v>
      </c>
      <c r="AN8" s="47" t="s">
        <v>1152</v>
      </c>
      <c r="AP8" s="45" t="s">
        <v>1147</v>
      </c>
      <c r="AQ8" s="46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</row>
    <row r="9" spans="1:64" s="32" customFormat="1" x14ac:dyDescent="0.25">
      <c r="A9" s="6"/>
      <c r="B9" s="6"/>
      <c r="C9" s="7"/>
      <c r="D9" s="6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50"/>
      <c r="AO9" s="49"/>
      <c r="AP9" s="51"/>
      <c r="AQ9" s="41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</row>
    <row r="10" spans="1:64" s="32" customFormat="1" x14ac:dyDescent="0.25">
      <c r="A10" s="6"/>
      <c r="B10" s="6" t="s">
        <v>6</v>
      </c>
      <c r="C10" s="7" t="s">
        <v>7</v>
      </c>
      <c r="D10" s="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50"/>
      <c r="AO10" s="49"/>
      <c r="AP10" s="51"/>
      <c r="AQ10" s="41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</row>
    <row r="11" spans="1:64" s="32" customFormat="1" ht="30" x14ac:dyDescent="0.25">
      <c r="A11" s="8" t="s">
        <v>8</v>
      </c>
      <c r="B11" s="9" t="s">
        <v>9</v>
      </c>
      <c r="C11" s="10" t="s">
        <v>10</v>
      </c>
      <c r="D11" s="11" t="s">
        <v>11</v>
      </c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50">
        <v>6</v>
      </c>
      <c r="AO11" s="49"/>
      <c r="AP11" s="52">
        <f t="shared" ref="AP11:AP47" si="0">SUM(E11:AO11)</f>
        <v>6</v>
      </c>
      <c r="AQ11" s="41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</row>
    <row r="12" spans="1:64" s="32" customFormat="1" ht="30" x14ac:dyDescent="0.25">
      <c r="A12" s="6" t="s">
        <v>12</v>
      </c>
      <c r="B12" s="9" t="s">
        <v>13</v>
      </c>
      <c r="C12" s="17" t="s">
        <v>14</v>
      </c>
      <c r="D12" s="9" t="s">
        <v>11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50">
        <v>2934.88</v>
      </c>
      <c r="AO12" s="49"/>
      <c r="AP12" s="52">
        <f t="shared" si="0"/>
        <v>2934.88</v>
      </c>
      <c r="AQ12" s="41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</row>
    <row r="13" spans="1:64" s="32" customFormat="1" ht="30" x14ac:dyDescent="0.25">
      <c r="A13" s="8" t="s">
        <v>15</v>
      </c>
      <c r="B13" s="9" t="s">
        <v>16</v>
      </c>
      <c r="C13" s="10" t="s">
        <v>17</v>
      </c>
      <c r="D13" s="11" t="s">
        <v>18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50">
        <v>1</v>
      </c>
      <c r="AO13" s="49"/>
      <c r="AP13" s="52">
        <f t="shared" si="0"/>
        <v>1</v>
      </c>
      <c r="AQ13" s="41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</row>
    <row r="14" spans="1:64" s="32" customFormat="1" ht="30" x14ac:dyDescent="0.25">
      <c r="A14" s="8" t="s">
        <v>19</v>
      </c>
      <c r="B14" s="9" t="s">
        <v>20</v>
      </c>
      <c r="C14" s="10" t="s">
        <v>21</v>
      </c>
      <c r="D14" s="11" t="s">
        <v>11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50">
        <v>584.11</v>
      </c>
      <c r="AO14" s="49"/>
      <c r="AP14" s="52">
        <f t="shared" si="0"/>
        <v>584.11</v>
      </c>
      <c r="AQ14" s="41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64" s="32" customFormat="1" ht="30" x14ac:dyDescent="0.25">
      <c r="A15" s="8" t="s">
        <v>22</v>
      </c>
      <c r="B15" s="9" t="s">
        <v>23</v>
      </c>
      <c r="C15" s="10" t="s">
        <v>24</v>
      </c>
      <c r="D15" s="11" t="s">
        <v>25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50">
        <v>1</v>
      </c>
      <c r="AO15" s="49"/>
      <c r="AP15" s="52">
        <f t="shared" si="0"/>
        <v>1</v>
      </c>
      <c r="AQ15" s="41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</row>
    <row r="16" spans="1:64" s="32" customFormat="1" x14ac:dyDescent="0.25">
      <c r="A16" s="8" t="s">
        <v>26</v>
      </c>
      <c r="B16" s="9" t="s">
        <v>27</v>
      </c>
      <c r="C16" s="10" t="s">
        <v>28</v>
      </c>
      <c r="D16" s="11" t="s">
        <v>25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50">
        <v>1</v>
      </c>
      <c r="AO16" s="49"/>
      <c r="AP16" s="52">
        <f t="shared" si="0"/>
        <v>1</v>
      </c>
      <c r="AQ16" s="41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64" s="32" customFormat="1" ht="30" x14ac:dyDescent="0.25">
      <c r="A17" s="8" t="s">
        <v>29</v>
      </c>
      <c r="B17" s="9" t="s">
        <v>30</v>
      </c>
      <c r="C17" s="10" t="s">
        <v>31</v>
      </c>
      <c r="D17" s="11" t="s">
        <v>32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50">
        <v>6</v>
      </c>
      <c r="AO17" s="49"/>
      <c r="AP17" s="52">
        <f t="shared" si="0"/>
        <v>6</v>
      </c>
      <c r="AQ17" s="41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</row>
    <row r="18" spans="1:64" s="32" customFormat="1" ht="45" x14ac:dyDescent="0.25">
      <c r="A18" s="6" t="s">
        <v>33</v>
      </c>
      <c r="B18" s="9" t="s">
        <v>34</v>
      </c>
      <c r="C18" s="17" t="s">
        <v>35</v>
      </c>
      <c r="D18" s="9" t="s">
        <v>11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50">
        <v>12</v>
      </c>
      <c r="AO18" s="49"/>
      <c r="AP18" s="52">
        <f t="shared" si="0"/>
        <v>12</v>
      </c>
      <c r="AQ18" s="41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</row>
    <row r="19" spans="1:64" s="32" customFormat="1" ht="45" x14ac:dyDescent="0.25">
      <c r="A19" s="6" t="s">
        <v>36</v>
      </c>
      <c r="B19" s="9" t="s">
        <v>37</v>
      </c>
      <c r="C19" s="17" t="s">
        <v>38</v>
      </c>
      <c r="D19" s="9" t="s">
        <v>11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50">
        <v>30</v>
      </c>
      <c r="AO19" s="49"/>
      <c r="AP19" s="52">
        <f t="shared" si="0"/>
        <v>30</v>
      </c>
      <c r="AQ19" s="41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</row>
    <row r="20" spans="1:64" s="32" customFormat="1" ht="60" x14ac:dyDescent="0.25">
      <c r="A20" s="6" t="s">
        <v>39</v>
      </c>
      <c r="B20" s="9" t="s">
        <v>40</v>
      </c>
      <c r="C20" s="13" t="s">
        <v>41</v>
      </c>
      <c r="D20" s="11" t="s">
        <v>42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50">
        <v>221.47</v>
      </c>
      <c r="AO20" s="49"/>
      <c r="AP20" s="52">
        <f t="shared" si="0"/>
        <v>221.47</v>
      </c>
      <c r="AQ20" s="41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</row>
    <row r="21" spans="1:64" s="32" customFormat="1" x14ac:dyDescent="0.25">
      <c r="A21" s="6"/>
      <c r="B21" s="6" t="s">
        <v>43</v>
      </c>
      <c r="C21" s="7" t="s">
        <v>44</v>
      </c>
      <c r="D21" s="11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50"/>
      <c r="AO21" s="49"/>
      <c r="AP21" s="52"/>
      <c r="AQ21" s="41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</row>
    <row r="22" spans="1:64" s="32" customFormat="1" x14ac:dyDescent="0.25">
      <c r="A22" s="6" t="s">
        <v>26</v>
      </c>
      <c r="B22" s="9" t="s">
        <v>46</v>
      </c>
      <c r="C22" s="44" t="s">
        <v>53</v>
      </c>
      <c r="D22" s="9" t="s">
        <v>51</v>
      </c>
      <c r="E22" s="53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53">
        <v>1760.93</v>
      </c>
      <c r="AO22" s="49"/>
      <c r="AP22" s="52">
        <f t="shared" si="0"/>
        <v>1760.93</v>
      </c>
      <c r="AQ22" s="41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</row>
    <row r="23" spans="1:64" s="32" customFormat="1" ht="30" x14ac:dyDescent="0.25">
      <c r="A23" s="6" t="s">
        <v>45</v>
      </c>
      <c r="B23" s="9" t="s">
        <v>49</v>
      </c>
      <c r="C23" s="44" t="s">
        <v>47</v>
      </c>
      <c r="D23" s="9" t="s">
        <v>11</v>
      </c>
      <c r="E23" s="53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53">
        <v>2934.88</v>
      </c>
      <c r="AO23" s="49"/>
      <c r="AP23" s="52">
        <f t="shared" si="0"/>
        <v>2934.88</v>
      </c>
      <c r="AQ23" s="41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4" spans="1:64" s="32" customFormat="1" ht="45" x14ac:dyDescent="0.25">
      <c r="A24" s="6" t="s">
        <v>1186</v>
      </c>
      <c r="B24" s="9" t="s">
        <v>52</v>
      </c>
      <c r="C24" s="44" t="s">
        <v>1187</v>
      </c>
      <c r="D24" s="9" t="s">
        <v>51</v>
      </c>
      <c r="E24" s="53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53">
        <f>233.64+1760.93</f>
        <v>1994.5700000000002</v>
      </c>
      <c r="AO24" s="49"/>
      <c r="AP24" s="52">
        <f t="shared" si="0"/>
        <v>1994.5700000000002</v>
      </c>
      <c r="AQ24" s="41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5" spans="1:64" s="32" customFormat="1" ht="45" x14ac:dyDescent="0.25">
      <c r="A25" s="6" t="s">
        <v>55</v>
      </c>
      <c r="B25" s="9" t="s">
        <v>54</v>
      </c>
      <c r="C25" s="17" t="s">
        <v>57</v>
      </c>
      <c r="D25" s="9" t="s">
        <v>11</v>
      </c>
      <c r="E25" s="53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53">
        <v>584.11</v>
      </c>
      <c r="AO25" s="49"/>
      <c r="AP25" s="52">
        <f t="shared" si="0"/>
        <v>584.11</v>
      </c>
      <c r="AQ25" s="41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</row>
    <row r="26" spans="1:64" s="32" customFormat="1" ht="45" x14ac:dyDescent="0.25">
      <c r="A26" s="6" t="s">
        <v>58</v>
      </c>
      <c r="B26" s="9" t="s">
        <v>56</v>
      </c>
      <c r="C26" s="17" t="s">
        <v>60</v>
      </c>
      <c r="D26" s="9" t="s">
        <v>51</v>
      </c>
      <c r="E26" s="54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53">
        <v>197.84</v>
      </c>
      <c r="AO26" s="49"/>
      <c r="AP26" s="52">
        <f t="shared" si="0"/>
        <v>197.84</v>
      </c>
      <c r="AQ26" s="41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</row>
    <row r="27" spans="1:64" s="32" customFormat="1" ht="45" x14ac:dyDescent="0.25">
      <c r="A27" s="6" t="s">
        <v>48</v>
      </c>
      <c r="B27" s="9" t="s">
        <v>59</v>
      </c>
      <c r="C27" s="44" t="s">
        <v>50</v>
      </c>
      <c r="D27" s="9" t="s">
        <v>51</v>
      </c>
      <c r="E27" s="53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53">
        <v>233.64</v>
      </c>
      <c r="AO27" s="49"/>
      <c r="AP27" s="52">
        <f t="shared" si="0"/>
        <v>233.64</v>
      </c>
      <c r="AQ27" s="41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</row>
    <row r="28" spans="1:64" s="32" customFormat="1" ht="45" x14ac:dyDescent="0.25">
      <c r="A28" s="6" t="s">
        <v>61</v>
      </c>
      <c r="B28" s="9" t="s">
        <v>62</v>
      </c>
      <c r="C28" s="44" t="s">
        <v>63</v>
      </c>
      <c r="D28" s="9" t="s">
        <v>11</v>
      </c>
      <c r="E28" s="53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53">
        <v>584.11</v>
      </c>
      <c r="AO28" s="49"/>
      <c r="AP28" s="52">
        <f t="shared" si="0"/>
        <v>584.11</v>
      </c>
      <c r="AQ28" s="41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</row>
    <row r="29" spans="1:64" s="32" customFormat="1" x14ac:dyDescent="0.25">
      <c r="A29" s="6"/>
      <c r="B29" s="6" t="s">
        <v>64</v>
      </c>
      <c r="C29" s="7" t="s">
        <v>65</v>
      </c>
      <c r="D29" s="11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50"/>
      <c r="AO29" s="49"/>
      <c r="AP29" s="52"/>
      <c r="AQ29" s="41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</row>
    <row r="30" spans="1:64" s="32" customFormat="1" ht="45" x14ac:dyDescent="0.25">
      <c r="A30" s="6" t="s">
        <v>66</v>
      </c>
      <c r="B30" s="9" t="s">
        <v>67</v>
      </c>
      <c r="C30" s="17" t="s">
        <v>68</v>
      </c>
      <c r="D30" s="9" t="s">
        <v>51</v>
      </c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50">
        <f>7*1.05</f>
        <v>7.3500000000000005</v>
      </c>
      <c r="AO30" s="49"/>
      <c r="AP30" s="52">
        <f t="shared" si="0"/>
        <v>7.3500000000000005</v>
      </c>
      <c r="AQ30" s="41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</row>
    <row r="31" spans="1:64" s="32" customFormat="1" ht="45" x14ac:dyDescent="0.25">
      <c r="A31" s="6" t="s">
        <v>69</v>
      </c>
      <c r="B31" s="9" t="s">
        <v>70</v>
      </c>
      <c r="C31" s="17" t="s">
        <v>71</v>
      </c>
      <c r="D31" s="9" t="s">
        <v>51</v>
      </c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50">
        <f>7*1.05</f>
        <v>7.3500000000000005</v>
      </c>
      <c r="AO31" s="49"/>
      <c r="AP31" s="52">
        <f t="shared" si="0"/>
        <v>7.3500000000000005</v>
      </c>
      <c r="AQ31" s="41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</row>
    <row r="32" spans="1:64" s="32" customFormat="1" ht="45" x14ac:dyDescent="0.25">
      <c r="A32" s="6" t="s">
        <v>72</v>
      </c>
      <c r="B32" s="9" t="s">
        <v>73</v>
      </c>
      <c r="C32" s="17" t="s">
        <v>74</v>
      </c>
      <c r="D32" s="9" t="s">
        <v>11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50">
        <f>65+138+122.35+81.57</f>
        <v>406.92</v>
      </c>
      <c r="AO32" s="49"/>
      <c r="AP32" s="52">
        <f t="shared" si="0"/>
        <v>406.92</v>
      </c>
      <c r="AQ32" s="41"/>
      <c r="AR32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</row>
    <row r="33" spans="1:64" s="32" customFormat="1" ht="45" x14ac:dyDescent="0.25">
      <c r="A33" s="6" t="s">
        <v>75</v>
      </c>
      <c r="B33" s="9" t="s">
        <v>76</v>
      </c>
      <c r="C33" s="17" t="s">
        <v>77</v>
      </c>
      <c r="D33" s="9" t="s">
        <v>78</v>
      </c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50">
        <f>(308.4 + 153 + 260)</f>
        <v>721.4</v>
      </c>
      <c r="AO33" s="49"/>
      <c r="AP33" s="52">
        <f t="shared" si="0"/>
        <v>721.4</v>
      </c>
      <c r="AQ33" s="41"/>
      <c r="AR33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</row>
    <row r="34" spans="1:64" s="32" customFormat="1" ht="30" x14ac:dyDescent="0.25">
      <c r="A34" s="6" t="s">
        <v>79</v>
      </c>
      <c r="B34" s="9" t="s">
        <v>80</v>
      </c>
      <c r="C34" s="17" t="s">
        <v>81</v>
      </c>
      <c r="D34" s="9" t="s">
        <v>51</v>
      </c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50">
        <v>5.14</v>
      </c>
      <c r="AO34" s="49"/>
      <c r="AP34" s="52">
        <f t="shared" si="0"/>
        <v>5.14</v>
      </c>
      <c r="AQ34" s="41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1:64" s="32" customFormat="1" ht="45" x14ac:dyDescent="0.25">
      <c r="A35" s="6" t="s">
        <v>82</v>
      </c>
      <c r="B35" s="9" t="s">
        <v>83</v>
      </c>
      <c r="C35" s="17" t="s">
        <v>84</v>
      </c>
      <c r="D35" s="9" t="s">
        <v>51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50">
        <f>(396.16*0.4*0.05)+(1 * 1 * 0.05 * 10) + (0.8 * 0.8 * 0.05 * 18) + (0.6 * 0.6 * 0.05 * 8) + (0.7 * 0.7 * 0.05 * 16) + (0.9 * 0.9 * 0.05 * 5) + (1.7 * 1.7 * 0.05 * 3) + (2 * 2 * 0.05)</f>
        <v>10.371200000000002</v>
      </c>
      <c r="AO35" s="49"/>
      <c r="AP35" s="52">
        <f t="shared" si="0"/>
        <v>10.371200000000002</v>
      </c>
      <c r="AQ35" s="41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</row>
    <row r="36" spans="1:64" s="32" customFormat="1" ht="45" x14ac:dyDescent="0.25">
      <c r="A36" s="6" t="s">
        <v>85</v>
      </c>
      <c r="B36" s="9" t="s">
        <v>86</v>
      </c>
      <c r="C36" s="24" t="s">
        <v>87</v>
      </c>
      <c r="D36" s="25" t="s">
        <v>11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55">
        <f>76.9 + 81.56</f>
        <v>158.46</v>
      </c>
      <c r="AO36" s="49"/>
      <c r="AP36" s="52">
        <f t="shared" si="0"/>
        <v>158.46</v>
      </c>
      <c r="AQ36" s="41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</row>
    <row r="37" spans="1:64" s="32" customFormat="1" ht="45" x14ac:dyDescent="0.25">
      <c r="A37" s="6" t="s">
        <v>88</v>
      </c>
      <c r="B37" s="9" t="s">
        <v>89</v>
      </c>
      <c r="C37" s="17" t="s">
        <v>90</v>
      </c>
      <c r="D37" s="9" t="s">
        <v>51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50">
        <f>42+34.53+(203.92*0.3*0.3)</f>
        <v>94.882800000000003</v>
      </c>
      <c r="AO37" s="49"/>
      <c r="AP37" s="52">
        <f t="shared" si="0"/>
        <v>94.882800000000003</v>
      </c>
      <c r="AQ37" s="41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</row>
    <row r="38" spans="1:64" s="32" customFormat="1" ht="45" x14ac:dyDescent="0.25">
      <c r="A38" s="6" t="s">
        <v>91</v>
      </c>
      <c r="B38" s="9" t="s">
        <v>92</v>
      </c>
      <c r="C38" s="17" t="s">
        <v>93</v>
      </c>
      <c r="D38" s="9" t="s">
        <v>11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50">
        <v>113.57</v>
      </c>
      <c r="AO38" s="49"/>
      <c r="AP38" s="52">
        <f t="shared" si="0"/>
        <v>113.57</v>
      </c>
      <c r="AQ38" s="41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</row>
    <row r="39" spans="1:64" s="32" customFormat="1" ht="45" x14ac:dyDescent="0.25">
      <c r="A39" s="6" t="s">
        <v>94</v>
      </c>
      <c r="B39" s="9" t="s">
        <v>95</v>
      </c>
      <c r="C39" s="17" t="s">
        <v>96</v>
      </c>
      <c r="D39" s="9" t="s">
        <v>51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50">
        <v>584.11</v>
      </c>
      <c r="AO39" s="49"/>
      <c r="AP39" s="52">
        <f t="shared" si="0"/>
        <v>584.11</v>
      </c>
      <c r="AQ39" s="41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</row>
    <row r="40" spans="1:64" s="32" customFormat="1" x14ac:dyDescent="0.25">
      <c r="A40" s="6"/>
      <c r="B40" s="6" t="s">
        <v>97</v>
      </c>
      <c r="C40" s="7" t="s">
        <v>98</v>
      </c>
      <c r="D40" s="11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50"/>
      <c r="AO40" s="49"/>
      <c r="AP40" s="52"/>
      <c r="AQ40" s="41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</row>
    <row r="41" spans="1:64" s="32" customFormat="1" x14ac:dyDescent="0.25">
      <c r="A41" s="6"/>
      <c r="B41" s="6" t="s">
        <v>99</v>
      </c>
      <c r="C41" s="7" t="s">
        <v>100</v>
      </c>
      <c r="D41" s="11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50"/>
      <c r="AO41" s="49"/>
      <c r="AP41" s="52"/>
      <c r="AQ41" s="41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</row>
    <row r="42" spans="1:64" s="32" customFormat="1" ht="45" x14ac:dyDescent="0.25">
      <c r="A42" s="6" t="s">
        <v>101</v>
      </c>
      <c r="B42" s="9" t="s">
        <v>102</v>
      </c>
      <c r="C42" s="17" t="s">
        <v>103</v>
      </c>
      <c r="D42" s="9" t="s">
        <v>51</v>
      </c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50">
        <v>54</v>
      </c>
      <c r="AO42" s="49"/>
      <c r="AP42" s="52">
        <f t="shared" si="0"/>
        <v>54</v>
      </c>
      <c r="AQ42" s="41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</row>
    <row r="43" spans="1:64" s="32" customFormat="1" ht="30" x14ac:dyDescent="0.25">
      <c r="A43" s="6" t="s">
        <v>79</v>
      </c>
      <c r="B43" s="9" t="s">
        <v>104</v>
      </c>
      <c r="C43" s="17" t="s">
        <v>81</v>
      </c>
      <c r="D43" s="9" t="s">
        <v>51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50">
        <f>4.07+3.43</f>
        <v>7.5</v>
      </c>
      <c r="AO43" s="49"/>
      <c r="AP43" s="52">
        <f t="shared" si="0"/>
        <v>7.5</v>
      </c>
      <c r="AQ43" s="41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</row>
    <row r="44" spans="1:64" s="32" customFormat="1" ht="45" x14ac:dyDescent="0.25">
      <c r="A44" s="6" t="s">
        <v>105</v>
      </c>
      <c r="B44" s="9" t="s">
        <v>106</v>
      </c>
      <c r="C44" s="17" t="s">
        <v>107</v>
      </c>
      <c r="D44" s="9" t="s">
        <v>11</v>
      </c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50">
        <f>620+88+73.2</f>
        <v>781.2</v>
      </c>
      <c r="AO44" s="49"/>
      <c r="AP44" s="52">
        <f t="shared" si="0"/>
        <v>781.2</v>
      </c>
      <c r="AQ44" s="41"/>
      <c r="AR44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</row>
    <row r="45" spans="1:64" s="32" customFormat="1" ht="45" x14ac:dyDescent="0.25">
      <c r="A45" s="6" t="s">
        <v>75</v>
      </c>
      <c r="B45" s="9" t="s">
        <v>108</v>
      </c>
      <c r="C45" s="17" t="s">
        <v>77</v>
      </c>
      <c r="D45" s="9" t="s">
        <v>78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56"/>
      <c r="AK45" s="49"/>
      <c r="AL45" s="49"/>
      <c r="AM45" s="49"/>
      <c r="AN45" s="55">
        <v>5342</v>
      </c>
      <c r="AO45" s="49"/>
      <c r="AP45" s="52">
        <f t="shared" si="0"/>
        <v>5342</v>
      </c>
      <c r="AQ45" s="41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</row>
    <row r="46" spans="1:64" s="32" customFormat="1" x14ac:dyDescent="0.25">
      <c r="A46" s="6"/>
      <c r="B46" s="6" t="s">
        <v>109</v>
      </c>
      <c r="C46" s="7" t="s">
        <v>110</v>
      </c>
      <c r="D46" s="11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50"/>
      <c r="AO46" s="49"/>
      <c r="AP46" s="52"/>
      <c r="AQ46" s="41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</row>
    <row r="47" spans="1:64" s="32" customFormat="1" ht="60" x14ac:dyDescent="0.25">
      <c r="A47" s="6" t="s">
        <v>111</v>
      </c>
      <c r="B47" s="9" t="s">
        <v>112</v>
      </c>
      <c r="C47" s="17" t="s">
        <v>113</v>
      </c>
      <c r="D47" s="9" t="s">
        <v>11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50">
        <v>431.13</v>
      </c>
      <c r="AO47" s="49"/>
      <c r="AP47" s="52">
        <f t="shared" si="0"/>
        <v>431.13</v>
      </c>
      <c r="AQ47" s="41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</row>
    <row r="48" spans="1:64" s="32" customFormat="1" x14ac:dyDescent="0.25">
      <c r="A48" s="6"/>
      <c r="B48" s="6" t="s">
        <v>114</v>
      </c>
      <c r="C48" s="7" t="s">
        <v>115</v>
      </c>
      <c r="D48" s="11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50"/>
      <c r="AO48" s="49"/>
      <c r="AP48" s="52"/>
      <c r="AQ48" s="41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</row>
    <row r="49" spans="1:64" s="32" customFormat="1" ht="45" x14ac:dyDescent="0.25">
      <c r="A49" s="6" t="s">
        <v>116</v>
      </c>
      <c r="B49" s="9" t="s">
        <v>117</v>
      </c>
      <c r="C49" s="17" t="s">
        <v>118</v>
      </c>
      <c r="D49" s="9" t="s">
        <v>11</v>
      </c>
      <c r="E49" s="49">
        <v>33.83</v>
      </c>
      <c r="F49" s="49">
        <v>86.97</v>
      </c>
      <c r="G49" s="49">
        <v>16.010000000000002</v>
      </c>
      <c r="H49" s="49">
        <v>20.57</v>
      </c>
      <c r="I49" s="49">
        <v>12.31</v>
      </c>
      <c r="J49" s="49">
        <v>4.59</v>
      </c>
      <c r="K49" s="49">
        <v>19.170000000000002</v>
      </c>
      <c r="L49" s="49">
        <v>27.68</v>
      </c>
      <c r="M49" s="49">
        <v>26.33</v>
      </c>
      <c r="N49" s="49">
        <v>9.32</v>
      </c>
      <c r="O49" s="49">
        <v>23.09</v>
      </c>
      <c r="P49" s="49">
        <v>13.77</v>
      </c>
      <c r="Q49" s="49">
        <v>15.93</v>
      </c>
      <c r="R49" s="49"/>
      <c r="S49" s="49">
        <v>18.36</v>
      </c>
      <c r="T49" s="49">
        <v>16.78</v>
      </c>
      <c r="U49" s="49">
        <v>37.99</v>
      </c>
      <c r="V49" s="49">
        <v>22.71</v>
      </c>
      <c r="W49" s="49">
        <v>14.83</v>
      </c>
      <c r="X49" s="49">
        <v>4.24</v>
      </c>
      <c r="Y49" s="49">
        <v>9.4499999999999993</v>
      </c>
      <c r="Z49" s="49">
        <v>9.4499999999999993</v>
      </c>
      <c r="AA49" s="49">
        <v>18.899999999999999</v>
      </c>
      <c r="AB49" s="49">
        <v>3.13</v>
      </c>
      <c r="AC49" s="49">
        <v>117.51</v>
      </c>
      <c r="AD49" s="49">
        <v>128.03</v>
      </c>
      <c r="AE49" s="49">
        <v>136.63999999999999</v>
      </c>
      <c r="AF49" s="49">
        <v>129.82</v>
      </c>
      <c r="AG49" s="49">
        <v>137.63</v>
      </c>
      <c r="AH49" s="49">
        <v>78.2</v>
      </c>
      <c r="AI49" s="49">
        <f>380.52+25.86</f>
        <v>406.38</v>
      </c>
      <c r="AJ49" s="49"/>
      <c r="AK49" s="49"/>
      <c r="AL49" s="49"/>
      <c r="AM49" s="49"/>
      <c r="AN49" s="50"/>
      <c r="AO49" s="49"/>
      <c r="AP49" s="57">
        <f>SUM(E49:AO49)-(30*0.86*2.13+0.8*2.1+2*2.13+0.8*1.8*2+0.9*1.8*2+2*2.1+0.8*2.1+0.96*2.13+0.8*2.1+3.6*2.5+2.5*2.5+1.6*2.1+1.4*1.4*6+1.4*1.6*2+2.3*1.9+1.2*1.4+0.75*1.4*2+2.3*1.6+4.9525+4*2.5+1.8*3+1*1+2.5*0.5*2+1*0.5*4+0.5*0.5*2+2.3*0.5+2.55*0.5+9*0.5+1*0.5)</f>
        <v>1442.5436999999999</v>
      </c>
      <c r="AQ49" s="41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</row>
    <row r="50" spans="1:64" s="32" customFormat="1" ht="45" x14ac:dyDescent="0.25">
      <c r="A50" s="6" t="s">
        <v>119</v>
      </c>
      <c r="B50" s="9" t="s">
        <v>120</v>
      </c>
      <c r="C50" s="17" t="s">
        <v>121</v>
      </c>
      <c r="D50" s="9" t="s">
        <v>11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58">
        <v>1.33</v>
      </c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50"/>
      <c r="AO50" s="49"/>
      <c r="AP50" s="52">
        <f t="shared" ref="AP50:AP57" si="1">SUM(E50:AO50)</f>
        <v>1.33</v>
      </c>
      <c r="AQ50" s="41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</row>
    <row r="51" spans="1:64" s="32" customFormat="1" ht="45" x14ac:dyDescent="0.25">
      <c r="A51" s="6" t="s">
        <v>122</v>
      </c>
      <c r="B51" s="9" t="s">
        <v>123</v>
      </c>
      <c r="C51" s="17" t="s">
        <v>124</v>
      </c>
      <c r="D51" s="9" t="s">
        <v>42</v>
      </c>
      <c r="E51" s="49">
        <f>2*1.56+2*1.53</f>
        <v>6.18</v>
      </c>
      <c r="F51" s="49">
        <f>2*1.46+2.26+2*(0.6+9)</f>
        <v>24.38</v>
      </c>
      <c r="G51" s="49">
        <f>(0.86+0.6)+(0.6+2)+2*(0.6+2.5)</f>
        <v>10.260000000000002</v>
      </c>
      <c r="H51" s="49">
        <f>(0.86+0.6)+2*(2.76+0.6)</f>
        <v>8.18</v>
      </c>
      <c r="I51" s="49">
        <f>0.86+0.6</f>
        <v>1.46</v>
      </c>
      <c r="J51" s="49">
        <f>(0.86+0.6)+2*(0.6+0.8)+2*(1+0.6)</f>
        <v>7.46</v>
      </c>
      <c r="K51" s="49">
        <f>(0.86+0.6)+2*(1+0.6)</f>
        <v>4.66</v>
      </c>
      <c r="L51" s="49">
        <f>(0.86+0.6)+2*(0.6+1.46)</f>
        <v>5.58</v>
      </c>
      <c r="M51" s="49">
        <f>(0.86+0.6)+2*(0.6+1.46)</f>
        <v>5.58</v>
      </c>
      <c r="N51" s="49">
        <f>(0.86+0.6)+2*(0.6+1)</f>
        <v>4.66</v>
      </c>
      <c r="O51" s="49">
        <f>2*(0.86+0.6)+2*(0.6+1.46)</f>
        <v>7.04</v>
      </c>
      <c r="P51" s="49">
        <f>(0.6+0.8)+2*(0.6+1.2)+2*(0.6+0.95)</f>
        <v>8.1</v>
      </c>
      <c r="Q51" s="49">
        <f>2*(0.86+0.6)</f>
        <v>2.92</v>
      </c>
      <c r="R51" s="49">
        <f>2*(0.86+0.6)+2*(2.5+0.6)</f>
        <v>9.120000000000001</v>
      </c>
      <c r="S51" s="49"/>
      <c r="T51" s="49">
        <f>2*(0.86+0.6)+2*(0.5+0.6)</f>
        <v>5.12</v>
      </c>
      <c r="U51" s="49">
        <f>(0.6+0.86)+3*(2*(1.46+0.6))</f>
        <v>13.82</v>
      </c>
      <c r="V51" s="49">
        <f>(0.6+0.86)+(2*(2.3+0.6))</f>
        <v>7.26</v>
      </c>
      <c r="W51" s="49"/>
      <c r="X51" s="49">
        <f>(0.6+0.86)+2*(2*(2.3+0.6))+2*(0.6+0.75)</f>
        <v>15.759999999999998</v>
      </c>
      <c r="Y51" s="49">
        <f>(0.86+0.6)+2*(0.75+0.6)</f>
        <v>4.16</v>
      </c>
      <c r="Z51" s="49">
        <f>(0.86+0.6)+2*(1.46+0.6)</f>
        <v>5.58</v>
      </c>
      <c r="AA51" s="49">
        <f>(0.86+0.6)+2*(1.46+0.6)</f>
        <v>5.58</v>
      </c>
      <c r="AB51" s="49">
        <f>(0.86+0.6)+2*(1+0.6)</f>
        <v>4.66</v>
      </c>
      <c r="AC51" s="49">
        <f>(3.6+0.6)+2*(1.8+0.6)</f>
        <v>9</v>
      </c>
      <c r="AD51" s="49"/>
      <c r="AE51" s="49"/>
      <c r="AF51" s="49"/>
      <c r="AG51" s="49"/>
      <c r="AH51" s="49"/>
      <c r="AI51" s="49"/>
      <c r="AJ51" s="49">
        <f>2*(0.6*4.97)+2*(0.6*4)+(0.6+2.5)</f>
        <v>13.863999999999999</v>
      </c>
      <c r="AK51" s="49">
        <f>(0.6*1.6)+(0.9+0.6)+(0.6+0.86)+2*(0.6+1)</f>
        <v>7.12</v>
      </c>
      <c r="AL51" s="49"/>
      <c r="AM51" s="49"/>
      <c r="AN51" s="50"/>
      <c r="AO51" s="49"/>
      <c r="AP51" s="52">
        <f t="shared" si="1"/>
        <v>197.50400000000002</v>
      </c>
      <c r="AQ51" s="41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</row>
    <row r="52" spans="1:64" s="32" customFormat="1" x14ac:dyDescent="0.25">
      <c r="A52" s="6"/>
      <c r="B52" s="6" t="s">
        <v>125</v>
      </c>
      <c r="C52" s="7" t="s">
        <v>126</v>
      </c>
      <c r="D52" s="11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50"/>
      <c r="AO52" s="49"/>
      <c r="AP52" s="52"/>
      <c r="AQ52" s="41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</row>
    <row r="53" spans="1:64" s="32" customFormat="1" ht="30" x14ac:dyDescent="0.25">
      <c r="A53" s="6" t="s">
        <v>127</v>
      </c>
      <c r="B53" s="9" t="s">
        <v>128</v>
      </c>
      <c r="C53" s="13" t="s">
        <v>129</v>
      </c>
      <c r="D53" s="11" t="s">
        <v>11</v>
      </c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50">
        <v>629.41999999999996</v>
      </c>
      <c r="AO53" s="49"/>
      <c r="AP53" s="52">
        <f t="shared" si="1"/>
        <v>629.41999999999996</v>
      </c>
      <c r="AQ53" s="41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</row>
    <row r="54" spans="1:64" s="32" customFormat="1" ht="45" x14ac:dyDescent="0.25">
      <c r="A54" s="6" t="s">
        <v>130</v>
      </c>
      <c r="B54" s="9" t="s">
        <v>131</v>
      </c>
      <c r="C54" s="17" t="s">
        <v>132</v>
      </c>
      <c r="D54" s="9" t="s">
        <v>11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50">
        <v>629.41999999999996</v>
      </c>
      <c r="AO54" s="49"/>
      <c r="AP54" s="52">
        <f t="shared" si="1"/>
        <v>629.41999999999996</v>
      </c>
      <c r="AQ54" s="41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</row>
    <row r="55" spans="1:64" s="32" customFormat="1" ht="45" x14ac:dyDescent="0.25">
      <c r="A55" s="6" t="s">
        <v>133</v>
      </c>
      <c r="B55" s="9" t="s">
        <v>134</v>
      </c>
      <c r="C55" s="17" t="s">
        <v>135</v>
      </c>
      <c r="D55" s="9" t="s">
        <v>42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50">
        <v>39.06</v>
      </c>
      <c r="AO55" s="49"/>
      <c r="AP55" s="52">
        <f t="shared" si="1"/>
        <v>39.06</v>
      </c>
      <c r="AQ55" s="41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</row>
    <row r="56" spans="1:64" s="32" customFormat="1" ht="45" x14ac:dyDescent="0.25">
      <c r="A56" s="6" t="s">
        <v>136</v>
      </c>
      <c r="B56" s="9" t="s">
        <v>137</v>
      </c>
      <c r="C56" s="17" t="s">
        <v>138</v>
      </c>
      <c r="D56" s="9" t="s">
        <v>42</v>
      </c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50">
        <v>6</v>
      </c>
      <c r="AO56" s="49"/>
      <c r="AP56" s="52">
        <f t="shared" si="1"/>
        <v>6</v>
      </c>
      <c r="AQ56" s="41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</row>
    <row r="57" spans="1:64" s="32" customFormat="1" ht="30" x14ac:dyDescent="0.25">
      <c r="A57" s="6" t="s">
        <v>139</v>
      </c>
      <c r="B57" s="9" t="s">
        <v>140</v>
      </c>
      <c r="C57" s="17" t="s">
        <v>141</v>
      </c>
      <c r="D57" s="9" t="s">
        <v>42</v>
      </c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50">
        <v>165.69</v>
      </c>
      <c r="AO57" s="49"/>
      <c r="AP57" s="52">
        <f t="shared" si="1"/>
        <v>165.69</v>
      </c>
      <c r="AQ57" s="41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</row>
    <row r="58" spans="1:64" s="32" customFormat="1" x14ac:dyDescent="0.25">
      <c r="A58" s="6"/>
      <c r="B58" s="6" t="s">
        <v>142</v>
      </c>
      <c r="C58" s="7" t="s">
        <v>143</v>
      </c>
      <c r="D58" s="11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50"/>
      <c r="AO58" s="49"/>
      <c r="AP58" s="52"/>
      <c r="AQ58" s="41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</row>
    <row r="59" spans="1:64" s="32" customFormat="1" x14ac:dyDescent="0.25">
      <c r="A59" s="6"/>
      <c r="B59" s="6" t="s">
        <v>144</v>
      </c>
      <c r="C59" s="7" t="s">
        <v>145</v>
      </c>
      <c r="D59" s="11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50"/>
      <c r="AO59" s="49"/>
      <c r="AP59" s="52"/>
      <c r="AQ59" s="41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</row>
    <row r="60" spans="1:64" s="32" customFormat="1" ht="45" x14ac:dyDescent="0.25">
      <c r="A60" s="6" t="s">
        <v>146</v>
      </c>
      <c r="B60" s="9" t="s">
        <v>147</v>
      </c>
      <c r="C60" s="17" t="s">
        <v>148</v>
      </c>
      <c r="D60" s="11" t="s">
        <v>42</v>
      </c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50"/>
      <c r="AO60" s="49"/>
      <c r="AP60" s="59">
        <v>2.5</v>
      </c>
      <c r="AQ60" s="41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</row>
    <row r="61" spans="1:64" s="32" customFormat="1" ht="45" x14ac:dyDescent="0.25">
      <c r="A61" s="6" t="s">
        <v>149</v>
      </c>
      <c r="B61" s="9" t="s">
        <v>150</v>
      </c>
      <c r="C61" s="17" t="s">
        <v>151</v>
      </c>
      <c r="D61" s="9" t="s">
        <v>42</v>
      </c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50"/>
      <c r="AO61" s="49"/>
      <c r="AP61" s="59">
        <v>230</v>
      </c>
      <c r="AQ61" s="41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</row>
    <row r="62" spans="1:64" s="32" customFormat="1" ht="45" x14ac:dyDescent="0.25">
      <c r="A62" s="6" t="s">
        <v>152</v>
      </c>
      <c r="B62" s="9" t="s">
        <v>153</v>
      </c>
      <c r="C62" s="17" t="s">
        <v>154</v>
      </c>
      <c r="D62" s="9" t="s">
        <v>42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50"/>
      <c r="AO62" s="49"/>
      <c r="AP62" s="59">
        <v>54</v>
      </c>
      <c r="AQ62" s="41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</row>
    <row r="63" spans="1:64" s="32" customFormat="1" ht="45" x14ac:dyDescent="0.25">
      <c r="A63" s="6" t="s">
        <v>155</v>
      </c>
      <c r="B63" s="9" t="s">
        <v>156</v>
      </c>
      <c r="C63" s="17" t="s">
        <v>157</v>
      </c>
      <c r="D63" s="9" t="s">
        <v>42</v>
      </c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50"/>
      <c r="AO63" s="49"/>
      <c r="AP63" s="59">
        <v>36</v>
      </c>
      <c r="AQ63" s="41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</row>
    <row r="64" spans="1:64" s="32" customFormat="1" ht="45" x14ac:dyDescent="0.25">
      <c r="A64" s="6" t="s">
        <v>158</v>
      </c>
      <c r="B64" s="9" t="s">
        <v>159</v>
      </c>
      <c r="C64" s="17" t="s">
        <v>160</v>
      </c>
      <c r="D64" s="9" t="s">
        <v>42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50"/>
      <c r="AO64" s="49"/>
      <c r="AP64" s="59">
        <v>15</v>
      </c>
      <c r="AQ64" s="41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</row>
    <row r="65" spans="1:64" s="32" customFormat="1" ht="30" x14ac:dyDescent="0.25">
      <c r="A65" s="6" t="s">
        <v>161</v>
      </c>
      <c r="B65" s="9" t="s">
        <v>162</v>
      </c>
      <c r="C65" s="17" t="s">
        <v>163</v>
      </c>
      <c r="D65" s="9" t="s">
        <v>164</v>
      </c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50"/>
      <c r="AO65" s="49"/>
      <c r="AP65" s="59">
        <v>1</v>
      </c>
      <c r="AQ65" s="41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</row>
    <row r="66" spans="1:64" s="32" customFormat="1" ht="45" x14ac:dyDescent="0.25">
      <c r="A66" s="6" t="s">
        <v>165</v>
      </c>
      <c r="B66" s="9" t="s">
        <v>166</v>
      </c>
      <c r="C66" s="17" t="s">
        <v>167</v>
      </c>
      <c r="D66" s="9" t="s">
        <v>164</v>
      </c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50"/>
      <c r="AO66" s="49"/>
      <c r="AP66" s="59">
        <v>8</v>
      </c>
      <c r="AQ66" s="41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</row>
    <row r="67" spans="1:64" s="32" customFormat="1" ht="45" x14ac:dyDescent="0.25">
      <c r="A67" s="6" t="s">
        <v>168</v>
      </c>
      <c r="B67" s="9" t="s">
        <v>169</v>
      </c>
      <c r="C67" s="17" t="s">
        <v>170</v>
      </c>
      <c r="D67" s="9" t="s">
        <v>164</v>
      </c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50"/>
      <c r="AO67" s="49"/>
      <c r="AP67" s="59">
        <v>2</v>
      </c>
      <c r="AQ67" s="41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</row>
    <row r="68" spans="1:64" s="32" customFormat="1" ht="45" x14ac:dyDescent="0.25">
      <c r="A68" s="6" t="s">
        <v>171</v>
      </c>
      <c r="B68" s="9" t="s">
        <v>172</v>
      </c>
      <c r="C68" s="17" t="s">
        <v>173</v>
      </c>
      <c r="D68" s="9" t="s">
        <v>164</v>
      </c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50"/>
      <c r="AO68" s="49"/>
      <c r="AP68" s="59">
        <v>2</v>
      </c>
      <c r="AQ68" s="41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</row>
    <row r="69" spans="1:64" s="32" customFormat="1" ht="30" x14ac:dyDescent="0.25">
      <c r="A69" s="6" t="s">
        <v>174</v>
      </c>
      <c r="B69" s="9" t="s">
        <v>175</v>
      </c>
      <c r="C69" s="17" t="s">
        <v>176</v>
      </c>
      <c r="D69" s="9" t="s">
        <v>164</v>
      </c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50"/>
      <c r="AO69" s="49"/>
      <c r="AP69" s="59">
        <v>2</v>
      </c>
      <c r="AQ69" s="41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</row>
    <row r="70" spans="1:64" s="32" customFormat="1" ht="30" x14ac:dyDescent="0.25">
      <c r="A70" s="6" t="s">
        <v>26</v>
      </c>
      <c r="B70" s="9" t="s">
        <v>177</v>
      </c>
      <c r="C70" s="17" t="s">
        <v>178</v>
      </c>
      <c r="D70" s="9" t="s">
        <v>164</v>
      </c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50"/>
      <c r="AO70" s="49"/>
      <c r="AP70" s="59">
        <v>1</v>
      </c>
      <c r="AQ70" s="41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</row>
    <row r="71" spans="1:64" s="32" customFormat="1" ht="30" x14ac:dyDescent="0.25">
      <c r="A71" s="6" t="s">
        <v>179</v>
      </c>
      <c r="B71" s="9" t="s">
        <v>180</v>
      </c>
      <c r="C71" s="17" t="s">
        <v>181</v>
      </c>
      <c r="D71" s="9" t="s">
        <v>164</v>
      </c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50"/>
      <c r="AO71" s="49"/>
      <c r="AP71" s="59">
        <v>1</v>
      </c>
      <c r="AQ71" s="41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</row>
    <row r="72" spans="1:64" s="32" customFormat="1" ht="30" x14ac:dyDescent="0.25">
      <c r="A72" s="6" t="s">
        <v>182</v>
      </c>
      <c r="B72" s="9" t="s">
        <v>183</v>
      </c>
      <c r="C72" s="17" t="s">
        <v>184</v>
      </c>
      <c r="D72" s="9" t="s">
        <v>164</v>
      </c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50"/>
      <c r="AO72" s="49"/>
      <c r="AP72" s="59">
        <v>26</v>
      </c>
      <c r="AQ72" s="41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</row>
    <row r="73" spans="1:64" s="32" customFormat="1" ht="30" x14ac:dyDescent="0.25">
      <c r="A73" s="6" t="s">
        <v>185</v>
      </c>
      <c r="B73" s="9" t="s">
        <v>186</v>
      </c>
      <c r="C73" s="12" t="s">
        <v>187</v>
      </c>
      <c r="D73" s="11" t="s">
        <v>164</v>
      </c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50"/>
      <c r="AO73" s="49"/>
      <c r="AP73" s="59">
        <v>1</v>
      </c>
      <c r="AQ73" s="41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</row>
    <row r="74" spans="1:64" s="32" customFormat="1" ht="30" x14ac:dyDescent="0.25">
      <c r="A74" s="6" t="s">
        <v>188</v>
      </c>
      <c r="B74" s="9" t="s">
        <v>189</v>
      </c>
      <c r="C74" s="12" t="s">
        <v>190</v>
      </c>
      <c r="D74" s="11" t="s">
        <v>164</v>
      </c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50"/>
      <c r="AO74" s="49"/>
      <c r="AP74" s="59">
        <v>1</v>
      </c>
      <c r="AQ74" s="41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</row>
    <row r="75" spans="1:64" s="32" customFormat="1" ht="30" x14ac:dyDescent="0.25">
      <c r="A75" s="6" t="s">
        <v>191</v>
      </c>
      <c r="B75" s="9" t="s">
        <v>192</v>
      </c>
      <c r="C75" s="12" t="s">
        <v>193</v>
      </c>
      <c r="D75" s="11" t="s">
        <v>164</v>
      </c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50"/>
      <c r="AO75" s="49"/>
      <c r="AP75" s="59">
        <v>50</v>
      </c>
      <c r="AQ75" s="41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64" s="32" customFormat="1" ht="30" x14ac:dyDescent="0.25">
      <c r="A76" s="6" t="s">
        <v>194</v>
      </c>
      <c r="B76" s="9" t="s">
        <v>195</v>
      </c>
      <c r="C76" s="12" t="s">
        <v>196</v>
      </c>
      <c r="D76" s="11" t="s">
        <v>164</v>
      </c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50"/>
      <c r="AO76" s="49"/>
      <c r="AP76" s="59">
        <v>4</v>
      </c>
      <c r="AQ76" s="41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64" s="32" customFormat="1" ht="30" x14ac:dyDescent="0.25">
      <c r="A77" s="6" t="s">
        <v>197</v>
      </c>
      <c r="B77" s="9" t="s">
        <v>198</v>
      </c>
      <c r="C77" s="12" t="s">
        <v>199</v>
      </c>
      <c r="D77" s="11" t="s">
        <v>164</v>
      </c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50"/>
      <c r="AO77" s="49"/>
      <c r="AP77" s="59">
        <v>2</v>
      </c>
      <c r="AQ77" s="41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64" s="32" customFormat="1" ht="30" x14ac:dyDescent="0.25">
      <c r="A78" s="6" t="s">
        <v>200</v>
      </c>
      <c r="B78" s="9" t="s">
        <v>201</v>
      </c>
      <c r="C78" s="12" t="s">
        <v>202</v>
      </c>
      <c r="D78" s="11" t="s">
        <v>164</v>
      </c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50"/>
      <c r="AO78" s="49"/>
      <c r="AP78" s="59">
        <v>1</v>
      </c>
      <c r="AQ78" s="41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64" s="32" customFormat="1" ht="30" x14ac:dyDescent="0.25">
      <c r="A79" s="6" t="s">
        <v>203</v>
      </c>
      <c r="B79" s="9" t="s">
        <v>204</v>
      </c>
      <c r="C79" s="12" t="s">
        <v>205</v>
      </c>
      <c r="D79" s="11" t="s">
        <v>164</v>
      </c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50"/>
      <c r="AO79" s="49"/>
      <c r="AP79" s="59">
        <v>16</v>
      </c>
      <c r="AQ79" s="41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64" s="32" customFormat="1" ht="30" x14ac:dyDescent="0.25">
      <c r="A80" s="6" t="s">
        <v>206</v>
      </c>
      <c r="B80" s="9" t="s">
        <v>207</v>
      </c>
      <c r="C80" s="12" t="s">
        <v>208</v>
      </c>
      <c r="D80" s="11" t="s">
        <v>209</v>
      </c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50"/>
      <c r="AO80" s="49"/>
      <c r="AP80" s="60">
        <v>8</v>
      </c>
      <c r="AQ80" s="41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s="32" customFormat="1" ht="30" x14ac:dyDescent="0.25">
      <c r="A81" s="6" t="s">
        <v>210</v>
      </c>
      <c r="B81" s="9" t="s">
        <v>211</v>
      </c>
      <c r="C81" s="12" t="s">
        <v>212</v>
      </c>
      <c r="D81" s="11" t="s">
        <v>209</v>
      </c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50"/>
      <c r="AO81" s="49"/>
      <c r="AP81" s="59">
        <v>4</v>
      </c>
      <c r="AQ81" s="41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s="32" customFormat="1" ht="30" x14ac:dyDescent="0.25">
      <c r="A82" s="6" t="s">
        <v>213</v>
      </c>
      <c r="B82" s="9" t="s">
        <v>214</v>
      </c>
      <c r="C82" s="12" t="s">
        <v>215</v>
      </c>
      <c r="D82" s="11" t="s">
        <v>209</v>
      </c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50"/>
      <c r="AO82" s="49"/>
      <c r="AP82" s="59">
        <v>2</v>
      </c>
      <c r="AQ82" s="41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s="32" customFormat="1" ht="30" x14ac:dyDescent="0.25">
      <c r="A83" s="6" t="s">
        <v>216</v>
      </c>
      <c r="B83" s="9" t="s">
        <v>217</v>
      </c>
      <c r="C83" s="12" t="s">
        <v>218</v>
      </c>
      <c r="D83" s="11" t="s">
        <v>209</v>
      </c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50"/>
      <c r="AO83" s="49"/>
      <c r="AP83" s="59">
        <v>16</v>
      </c>
      <c r="AQ83" s="41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s="32" customFormat="1" ht="30" x14ac:dyDescent="0.25">
      <c r="A84" s="6" t="s">
        <v>219</v>
      </c>
      <c r="B84" s="9" t="s">
        <v>220</v>
      </c>
      <c r="C84" s="12" t="s">
        <v>221</v>
      </c>
      <c r="D84" s="11" t="s">
        <v>209</v>
      </c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50"/>
      <c r="AO84" s="49"/>
      <c r="AP84" s="59">
        <v>2</v>
      </c>
      <c r="AQ84" s="41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s="32" customFormat="1" ht="30" x14ac:dyDescent="0.25">
      <c r="A85" s="6" t="s">
        <v>222</v>
      </c>
      <c r="B85" s="9" t="s">
        <v>223</v>
      </c>
      <c r="C85" s="12" t="s">
        <v>224</v>
      </c>
      <c r="D85" s="11" t="s">
        <v>209</v>
      </c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50"/>
      <c r="AO85" s="49"/>
      <c r="AP85" s="59">
        <v>1</v>
      </c>
      <c r="AQ85" s="41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s="32" customFormat="1" ht="30" x14ac:dyDescent="0.25">
      <c r="A86" s="6" t="s">
        <v>225</v>
      </c>
      <c r="B86" s="9" t="s">
        <v>226</v>
      </c>
      <c r="C86" s="12" t="s">
        <v>227</v>
      </c>
      <c r="D86" s="11" t="s">
        <v>209</v>
      </c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50"/>
      <c r="AO86" s="49"/>
      <c r="AP86" s="59">
        <v>2</v>
      </c>
      <c r="AQ86" s="41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s="32" customFormat="1" ht="30" x14ac:dyDescent="0.25">
      <c r="A87" s="6" t="s">
        <v>228</v>
      </c>
      <c r="B87" s="9" t="s">
        <v>229</v>
      </c>
      <c r="C87" s="13" t="s">
        <v>230</v>
      </c>
      <c r="D87" s="11" t="s">
        <v>209</v>
      </c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50"/>
      <c r="AO87" s="49"/>
      <c r="AP87" s="59">
        <v>4</v>
      </c>
      <c r="AQ87" s="41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s="32" customFormat="1" ht="30" x14ac:dyDescent="0.25">
      <c r="A88" s="6" t="s">
        <v>231</v>
      </c>
      <c r="B88" s="9" t="s">
        <v>232</v>
      </c>
      <c r="C88" s="12" t="s">
        <v>233</v>
      </c>
      <c r="D88" s="11" t="s">
        <v>209</v>
      </c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50"/>
      <c r="AO88" s="49"/>
      <c r="AP88" s="59">
        <v>3</v>
      </c>
      <c r="AQ88" s="41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s="32" customFormat="1" ht="30" x14ac:dyDescent="0.25">
      <c r="A89" s="6" t="s">
        <v>234</v>
      </c>
      <c r="B89" s="9" t="s">
        <v>235</v>
      </c>
      <c r="C89" s="12" t="s">
        <v>236</v>
      </c>
      <c r="D89" s="11" t="s">
        <v>209</v>
      </c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50"/>
      <c r="AO89" s="49"/>
      <c r="AP89" s="59">
        <v>2</v>
      </c>
      <c r="AQ89" s="41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s="32" customFormat="1" ht="30" x14ac:dyDescent="0.25">
      <c r="A90" s="6" t="s">
        <v>237</v>
      </c>
      <c r="B90" s="9" t="s">
        <v>238</v>
      </c>
      <c r="C90" s="12" t="s">
        <v>239</v>
      </c>
      <c r="D90" s="11" t="s">
        <v>209</v>
      </c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50"/>
      <c r="AO90" s="49"/>
      <c r="AP90" s="59">
        <v>3</v>
      </c>
      <c r="AQ90" s="41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s="32" customFormat="1" ht="30" x14ac:dyDescent="0.25">
      <c r="A91" s="6" t="s">
        <v>240</v>
      </c>
      <c r="B91" s="9" t="s">
        <v>241</v>
      </c>
      <c r="C91" s="12" t="s">
        <v>242</v>
      </c>
      <c r="D91" s="11" t="s">
        <v>209</v>
      </c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50"/>
      <c r="AO91" s="49"/>
      <c r="AP91" s="59">
        <v>1</v>
      </c>
      <c r="AQ91" s="41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s="32" customFormat="1" ht="30" x14ac:dyDescent="0.25">
      <c r="A92" s="6" t="s">
        <v>243</v>
      </c>
      <c r="B92" s="9" t="s">
        <v>244</v>
      </c>
      <c r="C92" s="12" t="s">
        <v>245</v>
      </c>
      <c r="D92" s="11" t="s">
        <v>209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50"/>
      <c r="AO92" s="49"/>
      <c r="AP92" s="59">
        <v>16</v>
      </c>
      <c r="AQ92" s="41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64" s="32" customFormat="1" ht="30" x14ac:dyDescent="0.25">
      <c r="A93" s="6" t="s">
        <v>246</v>
      </c>
      <c r="B93" s="9" t="s">
        <v>247</v>
      </c>
      <c r="C93" s="12" t="s">
        <v>248</v>
      </c>
      <c r="D93" s="11" t="s">
        <v>209</v>
      </c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50"/>
      <c r="AO93" s="49"/>
      <c r="AP93" s="59">
        <v>2</v>
      </c>
      <c r="AQ93" s="41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64" s="32" customFormat="1" ht="30" x14ac:dyDescent="0.25">
      <c r="A94" s="6" t="s">
        <v>249</v>
      </c>
      <c r="B94" s="9" t="s">
        <v>250</v>
      </c>
      <c r="C94" s="12" t="s">
        <v>251</v>
      </c>
      <c r="D94" s="11" t="s">
        <v>209</v>
      </c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50"/>
      <c r="AO94" s="49"/>
      <c r="AP94" s="59">
        <v>2</v>
      </c>
      <c r="AQ94" s="41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64" s="32" customFormat="1" ht="45" x14ac:dyDescent="0.25">
      <c r="A95" s="6" t="s">
        <v>252</v>
      </c>
      <c r="B95" s="9" t="s">
        <v>253</v>
      </c>
      <c r="C95" s="12" t="s">
        <v>254</v>
      </c>
      <c r="D95" s="11" t="s">
        <v>209</v>
      </c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50"/>
      <c r="AO95" s="49"/>
      <c r="AP95" s="59">
        <v>2</v>
      </c>
      <c r="AQ95" s="41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64" s="32" customFormat="1" ht="30" x14ac:dyDescent="0.25">
      <c r="A96" s="6" t="s">
        <v>255</v>
      </c>
      <c r="B96" s="9" t="s">
        <v>256</v>
      </c>
      <c r="C96" s="12" t="s">
        <v>257</v>
      </c>
      <c r="D96" s="11" t="s">
        <v>209</v>
      </c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50"/>
      <c r="AO96" s="49"/>
      <c r="AP96" s="59">
        <v>8</v>
      </c>
      <c r="AQ96" s="41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s="32" customFormat="1" ht="30" x14ac:dyDescent="0.25">
      <c r="A97" s="6" t="s">
        <v>258</v>
      </c>
      <c r="B97" s="9" t="s">
        <v>259</v>
      </c>
      <c r="C97" s="12" t="s">
        <v>260</v>
      </c>
      <c r="D97" s="11" t="s">
        <v>209</v>
      </c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50"/>
      <c r="AO97" s="49"/>
      <c r="AP97" s="59">
        <v>2</v>
      </c>
      <c r="AQ97" s="41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s="32" customFormat="1" ht="30" x14ac:dyDescent="0.25">
      <c r="A98" s="6" t="s">
        <v>261</v>
      </c>
      <c r="B98" s="9" t="s">
        <v>262</v>
      </c>
      <c r="C98" s="10" t="s">
        <v>263</v>
      </c>
      <c r="D98" s="11" t="s">
        <v>209</v>
      </c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50"/>
      <c r="AO98" s="49"/>
      <c r="AP98" s="59">
        <v>8</v>
      </c>
      <c r="AQ98" s="41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s="32" customFormat="1" ht="30" x14ac:dyDescent="0.25">
      <c r="A99" s="6" t="s">
        <v>264</v>
      </c>
      <c r="B99" s="9" t="s">
        <v>265</v>
      </c>
      <c r="C99" s="21" t="s">
        <v>266</v>
      </c>
      <c r="D99" s="11" t="s">
        <v>209</v>
      </c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50"/>
      <c r="AO99" s="49"/>
      <c r="AP99" s="59">
        <v>2</v>
      </c>
      <c r="AQ99" s="41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s="32" customFormat="1" ht="45" x14ac:dyDescent="0.25">
      <c r="A100" s="6" t="s">
        <v>267</v>
      </c>
      <c r="B100" s="9" t="s">
        <v>268</v>
      </c>
      <c r="C100" s="10" t="s">
        <v>269</v>
      </c>
      <c r="D100" s="11" t="s">
        <v>209</v>
      </c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50"/>
      <c r="AO100" s="49"/>
      <c r="AP100" s="59">
        <v>1</v>
      </c>
      <c r="AQ100" s="41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s="32" customFormat="1" ht="30" x14ac:dyDescent="0.25">
      <c r="A101" s="6" t="s">
        <v>270</v>
      </c>
      <c r="B101" s="9" t="s">
        <v>271</v>
      </c>
      <c r="C101" s="12" t="s">
        <v>272</v>
      </c>
      <c r="D101" s="11" t="s">
        <v>209</v>
      </c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50"/>
      <c r="AO101" s="49"/>
      <c r="AP101" s="59">
        <v>1</v>
      </c>
      <c r="AQ101" s="41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s="32" customFormat="1" ht="30" x14ac:dyDescent="0.25">
      <c r="A102" s="6" t="s">
        <v>273</v>
      </c>
      <c r="B102" s="9" t="s">
        <v>274</v>
      </c>
      <c r="C102" s="12" t="s">
        <v>275</v>
      </c>
      <c r="D102" s="11" t="s">
        <v>209</v>
      </c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50"/>
      <c r="AO102" s="49"/>
      <c r="AP102" s="59">
        <v>2</v>
      </c>
      <c r="AQ102" s="41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s="32" customFormat="1" ht="30" x14ac:dyDescent="0.25">
      <c r="A103" s="6" t="s">
        <v>276</v>
      </c>
      <c r="B103" s="9" t="s">
        <v>277</v>
      </c>
      <c r="C103" s="12" t="s">
        <v>278</v>
      </c>
      <c r="D103" s="11" t="s">
        <v>209</v>
      </c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50"/>
      <c r="AO103" s="49"/>
      <c r="AP103" s="59">
        <v>1</v>
      </c>
      <c r="AQ103" s="41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 s="32" customFormat="1" x14ac:dyDescent="0.25">
      <c r="A104" s="6"/>
      <c r="B104" s="6" t="s">
        <v>279</v>
      </c>
      <c r="C104" s="7" t="s">
        <v>280</v>
      </c>
      <c r="D104" s="11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50"/>
      <c r="AO104" s="49"/>
      <c r="AP104" s="59"/>
      <c r="AQ104" s="41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64" s="32" customFormat="1" ht="30" x14ac:dyDescent="0.25">
      <c r="A105" s="6" t="s">
        <v>282</v>
      </c>
      <c r="B105" s="9" t="s">
        <v>281</v>
      </c>
      <c r="C105" s="17" t="s">
        <v>284</v>
      </c>
      <c r="D105" s="9" t="s">
        <v>209</v>
      </c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50"/>
      <c r="AO105" s="49"/>
      <c r="AP105" s="59">
        <v>18</v>
      </c>
      <c r="AQ105" s="41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64" s="32" customFormat="1" ht="30" x14ac:dyDescent="0.25">
      <c r="A106" s="6" t="s">
        <v>285</v>
      </c>
      <c r="B106" s="9" t="s">
        <v>283</v>
      </c>
      <c r="C106" s="17" t="s">
        <v>287</v>
      </c>
      <c r="D106" s="9" t="s">
        <v>209</v>
      </c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50"/>
      <c r="AO106" s="49"/>
      <c r="AP106" s="59">
        <v>2</v>
      </c>
      <c r="AQ106" s="41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64" s="32" customFormat="1" ht="30" x14ac:dyDescent="0.25">
      <c r="A107" s="6" t="s">
        <v>288</v>
      </c>
      <c r="B107" s="9" t="s">
        <v>286</v>
      </c>
      <c r="C107" s="17" t="s">
        <v>290</v>
      </c>
      <c r="D107" s="9" t="s">
        <v>209</v>
      </c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50"/>
      <c r="AO107" s="49"/>
      <c r="AP107" s="59">
        <v>15</v>
      </c>
      <c r="AQ107" s="41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64" s="32" customFormat="1" ht="30" x14ac:dyDescent="0.25">
      <c r="A108" s="6" t="s">
        <v>291</v>
      </c>
      <c r="B108" s="9" t="s">
        <v>289</v>
      </c>
      <c r="C108" s="17" t="s">
        <v>293</v>
      </c>
      <c r="D108" s="9" t="s">
        <v>209</v>
      </c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50"/>
      <c r="AO108" s="49"/>
      <c r="AP108" s="59">
        <v>12</v>
      </c>
      <c r="AQ108" s="41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</row>
    <row r="109" spans="1:64" s="32" customFormat="1" ht="30" x14ac:dyDescent="0.25">
      <c r="A109" s="6" t="s">
        <v>294</v>
      </c>
      <c r="B109" s="9" t="s">
        <v>292</v>
      </c>
      <c r="C109" s="17" t="s">
        <v>296</v>
      </c>
      <c r="D109" s="9" t="s">
        <v>209</v>
      </c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50"/>
      <c r="AO109" s="49"/>
      <c r="AP109" s="59">
        <v>5</v>
      </c>
      <c r="AQ109" s="41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</row>
    <row r="110" spans="1:64" s="32" customFormat="1" ht="30" x14ac:dyDescent="0.25">
      <c r="A110" s="6" t="s">
        <v>297</v>
      </c>
      <c r="B110" s="9" t="s">
        <v>295</v>
      </c>
      <c r="C110" s="17" t="s">
        <v>299</v>
      </c>
      <c r="D110" s="9" t="s">
        <v>209</v>
      </c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50"/>
      <c r="AO110" s="49"/>
      <c r="AP110" s="59">
        <v>23</v>
      </c>
      <c r="AQ110" s="41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64" s="32" customFormat="1" ht="30" x14ac:dyDescent="0.25">
      <c r="A111" s="6" t="s">
        <v>300</v>
      </c>
      <c r="B111" s="9" t="s">
        <v>298</v>
      </c>
      <c r="C111" s="17" t="s">
        <v>302</v>
      </c>
      <c r="D111" s="9" t="s">
        <v>209</v>
      </c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50"/>
      <c r="AO111" s="49"/>
      <c r="AP111" s="59">
        <v>5</v>
      </c>
      <c r="AQ111" s="41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</row>
    <row r="112" spans="1:64" s="32" customFormat="1" ht="30" x14ac:dyDescent="0.25">
      <c r="A112" s="6" t="s">
        <v>303</v>
      </c>
      <c r="B112" s="9" t="s">
        <v>301</v>
      </c>
      <c r="C112" s="17" t="s">
        <v>305</v>
      </c>
      <c r="D112" s="9" t="s">
        <v>209</v>
      </c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50"/>
      <c r="AO112" s="49"/>
      <c r="AP112" s="59">
        <v>2</v>
      </c>
      <c r="AQ112" s="41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</row>
    <row r="113" spans="1:64" s="32" customFormat="1" ht="30" x14ac:dyDescent="0.25">
      <c r="A113" s="6" t="s">
        <v>307</v>
      </c>
      <c r="B113" s="9" t="s">
        <v>304</v>
      </c>
      <c r="C113" s="17" t="s">
        <v>309</v>
      </c>
      <c r="D113" s="9" t="s">
        <v>209</v>
      </c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50"/>
      <c r="AO113" s="49"/>
      <c r="AP113" s="59">
        <f>7+7</f>
        <v>14</v>
      </c>
      <c r="AQ113" s="41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</row>
    <row r="114" spans="1:64" s="32" customFormat="1" ht="30" x14ac:dyDescent="0.25">
      <c r="A114" s="6" t="s">
        <v>310</v>
      </c>
      <c r="B114" s="9" t="s">
        <v>306</v>
      </c>
      <c r="C114" s="17" t="s">
        <v>312</v>
      </c>
      <c r="D114" s="9" t="s">
        <v>209</v>
      </c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50"/>
      <c r="AO114" s="49"/>
      <c r="AP114" s="59">
        <v>1</v>
      </c>
      <c r="AQ114" s="41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</row>
    <row r="115" spans="1:64" s="32" customFormat="1" ht="30" x14ac:dyDescent="0.25">
      <c r="A115" s="6" t="s">
        <v>313</v>
      </c>
      <c r="B115" s="9" t="s">
        <v>308</v>
      </c>
      <c r="C115" s="17" t="s">
        <v>315</v>
      </c>
      <c r="D115" s="9" t="s">
        <v>209</v>
      </c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50"/>
      <c r="AO115" s="49"/>
      <c r="AP115" s="59">
        <v>2</v>
      </c>
      <c r="AQ115" s="41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</row>
    <row r="116" spans="1:64" s="32" customFormat="1" ht="30" x14ac:dyDescent="0.25">
      <c r="A116" s="6" t="s">
        <v>316</v>
      </c>
      <c r="B116" s="9" t="s">
        <v>311</v>
      </c>
      <c r="C116" s="17" t="s">
        <v>318</v>
      </c>
      <c r="D116" s="9" t="s">
        <v>209</v>
      </c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50"/>
      <c r="AO116" s="49"/>
      <c r="AP116" s="59">
        <v>9</v>
      </c>
      <c r="AQ116" s="41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</row>
    <row r="117" spans="1:64" s="32" customFormat="1" ht="30" x14ac:dyDescent="0.25">
      <c r="A117" s="6" t="s">
        <v>319</v>
      </c>
      <c r="B117" s="9" t="s">
        <v>314</v>
      </c>
      <c r="C117" s="17" t="s">
        <v>321</v>
      </c>
      <c r="D117" s="9" t="s">
        <v>209</v>
      </c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50"/>
      <c r="AO117" s="49"/>
      <c r="AP117" s="59">
        <v>2</v>
      </c>
      <c r="AQ117" s="41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</row>
    <row r="118" spans="1:64" s="32" customFormat="1" ht="30" x14ac:dyDescent="0.25">
      <c r="A118" s="6" t="s">
        <v>322</v>
      </c>
      <c r="B118" s="9" t="s">
        <v>317</v>
      </c>
      <c r="C118" s="17" t="s">
        <v>324</v>
      </c>
      <c r="D118" s="9" t="s">
        <v>209</v>
      </c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50"/>
      <c r="AO118" s="49"/>
      <c r="AP118" s="59">
        <v>5</v>
      </c>
      <c r="AQ118" s="41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</row>
    <row r="119" spans="1:64" s="32" customFormat="1" ht="30" x14ac:dyDescent="0.25">
      <c r="A119" s="6" t="s">
        <v>325</v>
      </c>
      <c r="B119" s="9" t="s">
        <v>320</v>
      </c>
      <c r="C119" s="17" t="s">
        <v>327</v>
      </c>
      <c r="D119" s="9" t="s">
        <v>209</v>
      </c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50"/>
      <c r="AO119" s="49"/>
      <c r="AP119" s="59">
        <v>4</v>
      </c>
      <c r="AQ119" s="41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</row>
    <row r="120" spans="1:64" s="32" customFormat="1" ht="45" x14ac:dyDescent="0.25">
      <c r="A120" s="6" t="s">
        <v>328</v>
      </c>
      <c r="B120" s="9" t="s">
        <v>323</v>
      </c>
      <c r="C120" s="22" t="s">
        <v>330</v>
      </c>
      <c r="D120" s="9" t="s">
        <v>209</v>
      </c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50"/>
      <c r="AO120" s="49"/>
      <c r="AP120" s="59">
        <v>118</v>
      </c>
      <c r="AQ120" s="41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</row>
    <row r="121" spans="1:64" s="32" customFormat="1" ht="45" x14ac:dyDescent="0.25">
      <c r="A121" s="6" t="s">
        <v>331</v>
      </c>
      <c r="B121" s="9" t="s">
        <v>326</v>
      </c>
      <c r="C121" s="23" t="s">
        <v>333</v>
      </c>
      <c r="D121" s="9" t="s">
        <v>42</v>
      </c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50"/>
      <c r="AO121" s="49"/>
      <c r="AP121" s="59">
        <v>323</v>
      </c>
      <c r="AQ121" s="41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</row>
    <row r="122" spans="1:64" s="32" customFormat="1" ht="45" x14ac:dyDescent="0.25">
      <c r="A122" s="6" t="s">
        <v>334</v>
      </c>
      <c r="B122" s="9" t="s">
        <v>329</v>
      </c>
      <c r="C122" s="23" t="s">
        <v>336</v>
      </c>
      <c r="D122" s="9" t="s">
        <v>42</v>
      </c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50"/>
      <c r="AO122" s="49"/>
      <c r="AP122" s="59">
        <v>50</v>
      </c>
      <c r="AQ122" s="41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</row>
    <row r="123" spans="1:64" s="32" customFormat="1" ht="45" x14ac:dyDescent="0.25">
      <c r="A123" s="6" t="s">
        <v>337</v>
      </c>
      <c r="B123" s="9" t="s">
        <v>332</v>
      </c>
      <c r="C123" s="23" t="s">
        <v>339</v>
      </c>
      <c r="D123" s="9" t="s">
        <v>42</v>
      </c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50"/>
      <c r="AO123" s="49"/>
      <c r="AP123" s="59">
        <v>30</v>
      </c>
      <c r="AQ123" s="41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</row>
    <row r="124" spans="1:64" s="32" customFormat="1" ht="45" x14ac:dyDescent="0.25">
      <c r="A124" s="6" t="s">
        <v>340</v>
      </c>
      <c r="B124" s="9" t="s">
        <v>335</v>
      </c>
      <c r="C124" s="23" t="s">
        <v>342</v>
      </c>
      <c r="D124" s="9" t="s">
        <v>42</v>
      </c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50"/>
      <c r="AO124" s="49"/>
      <c r="AP124" s="59">
        <v>165</v>
      </c>
      <c r="AQ124" s="41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</row>
    <row r="125" spans="1:64" s="32" customFormat="1" ht="30" x14ac:dyDescent="0.25">
      <c r="A125" s="6" t="s">
        <v>343</v>
      </c>
      <c r="B125" s="9" t="s">
        <v>338</v>
      </c>
      <c r="C125" s="17" t="s">
        <v>345</v>
      </c>
      <c r="D125" s="9" t="s">
        <v>42</v>
      </c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50"/>
      <c r="AO125" s="49"/>
      <c r="AP125" s="59">
        <v>2</v>
      </c>
      <c r="AQ125" s="41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</row>
    <row r="126" spans="1:64" s="32" customFormat="1" ht="30" x14ac:dyDescent="0.25">
      <c r="A126" s="6" t="s">
        <v>346</v>
      </c>
      <c r="B126" s="9" t="s">
        <v>341</v>
      </c>
      <c r="C126" s="17" t="s">
        <v>348</v>
      </c>
      <c r="D126" s="9" t="s">
        <v>209</v>
      </c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50"/>
      <c r="AO126" s="49"/>
      <c r="AP126" s="59">
        <v>8</v>
      </c>
      <c r="AQ126" s="41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</row>
    <row r="127" spans="1:64" s="32" customFormat="1" ht="30" x14ac:dyDescent="0.25">
      <c r="A127" s="6" t="s">
        <v>349</v>
      </c>
      <c r="B127" s="9" t="s">
        <v>344</v>
      </c>
      <c r="C127" s="17" t="s">
        <v>351</v>
      </c>
      <c r="D127" s="9" t="s">
        <v>209</v>
      </c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50"/>
      <c r="AO127" s="49"/>
      <c r="AP127" s="59">
        <v>5</v>
      </c>
      <c r="AQ127" s="41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</row>
    <row r="128" spans="1:64" s="32" customFormat="1" ht="30" x14ac:dyDescent="0.25">
      <c r="A128" s="6" t="s">
        <v>352</v>
      </c>
      <c r="B128" s="9" t="s">
        <v>347</v>
      </c>
      <c r="C128" s="17" t="s">
        <v>354</v>
      </c>
      <c r="D128" s="9" t="s">
        <v>209</v>
      </c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50"/>
      <c r="AO128" s="49"/>
      <c r="AP128" s="59">
        <v>2</v>
      </c>
      <c r="AQ128" s="41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</row>
    <row r="129" spans="1:64" s="32" customFormat="1" ht="30" x14ac:dyDescent="0.25">
      <c r="A129" s="6" t="s">
        <v>355</v>
      </c>
      <c r="B129" s="9" t="s">
        <v>350</v>
      </c>
      <c r="C129" s="12" t="s">
        <v>357</v>
      </c>
      <c r="D129" s="9" t="s">
        <v>209</v>
      </c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50"/>
      <c r="AO129" s="49"/>
      <c r="AP129" s="59">
        <v>3</v>
      </c>
      <c r="AQ129" s="41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</row>
    <row r="130" spans="1:64" s="32" customFormat="1" ht="30" x14ac:dyDescent="0.25">
      <c r="A130" s="6" t="s">
        <v>358</v>
      </c>
      <c r="B130" s="9" t="s">
        <v>353</v>
      </c>
      <c r="C130" s="12" t="s">
        <v>360</v>
      </c>
      <c r="D130" s="9" t="s">
        <v>209</v>
      </c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50"/>
      <c r="AO130" s="49"/>
      <c r="AP130" s="60">
        <v>4</v>
      </c>
      <c r="AQ130" s="41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</row>
    <row r="131" spans="1:64" s="32" customFormat="1" ht="45" x14ac:dyDescent="0.25">
      <c r="A131" s="6" t="s">
        <v>361</v>
      </c>
      <c r="B131" s="9" t="s">
        <v>356</v>
      </c>
      <c r="C131" s="17" t="s">
        <v>363</v>
      </c>
      <c r="D131" s="11" t="s">
        <v>209</v>
      </c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50"/>
      <c r="AO131" s="49"/>
      <c r="AP131" s="59">
        <v>10</v>
      </c>
      <c r="AQ131" s="41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</row>
    <row r="132" spans="1:64" s="32" customFormat="1" ht="45" x14ac:dyDescent="0.25">
      <c r="A132" s="6" t="s">
        <v>364</v>
      </c>
      <c r="B132" s="9" t="s">
        <v>359</v>
      </c>
      <c r="C132" s="17" t="s">
        <v>366</v>
      </c>
      <c r="D132" s="9" t="s">
        <v>209</v>
      </c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50"/>
      <c r="AO132" s="49"/>
      <c r="AP132" s="59">
        <v>6</v>
      </c>
      <c r="AQ132" s="41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</row>
    <row r="133" spans="1:64" s="32" customFormat="1" ht="30" x14ac:dyDescent="0.25">
      <c r="A133" s="6" t="s">
        <v>367</v>
      </c>
      <c r="B133" s="9" t="s">
        <v>362</v>
      </c>
      <c r="C133" s="40" t="s">
        <v>369</v>
      </c>
      <c r="D133" s="9" t="s">
        <v>209</v>
      </c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50"/>
      <c r="AO133" s="49"/>
      <c r="AP133" s="60">
        <v>1</v>
      </c>
      <c r="AQ133" s="41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</row>
    <row r="134" spans="1:64" s="32" customFormat="1" ht="60" x14ac:dyDescent="0.25">
      <c r="A134" s="6" t="s">
        <v>370</v>
      </c>
      <c r="B134" s="9" t="s">
        <v>365</v>
      </c>
      <c r="C134" s="40" t="s">
        <v>372</v>
      </c>
      <c r="D134" s="11" t="s">
        <v>209</v>
      </c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50"/>
      <c r="AO134" s="49"/>
      <c r="AP134" s="60">
        <v>2</v>
      </c>
      <c r="AQ134" s="41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</row>
    <row r="135" spans="1:64" s="32" customFormat="1" ht="30" x14ac:dyDescent="0.25">
      <c r="A135" s="6" t="s">
        <v>373</v>
      </c>
      <c r="B135" s="9" t="s">
        <v>368</v>
      </c>
      <c r="C135" s="12" t="s">
        <v>375</v>
      </c>
      <c r="D135" s="11" t="s">
        <v>209</v>
      </c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50"/>
      <c r="AO135" s="49"/>
      <c r="AP135" s="60">
        <v>6</v>
      </c>
      <c r="AQ135" s="41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</row>
    <row r="136" spans="1:64" s="32" customFormat="1" ht="30" x14ac:dyDescent="0.25">
      <c r="A136" s="6" t="s">
        <v>376</v>
      </c>
      <c r="B136" s="9" t="s">
        <v>371</v>
      </c>
      <c r="C136" s="40" t="s">
        <v>378</v>
      </c>
      <c r="D136" s="11" t="s">
        <v>209</v>
      </c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50"/>
      <c r="AO136" s="49"/>
      <c r="AP136" s="60">
        <v>12</v>
      </c>
      <c r="AQ136" s="41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</row>
    <row r="137" spans="1:64" s="32" customFormat="1" ht="45" x14ac:dyDescent="0.25">
      <c r="A137" s="6" t="s">
        <v>379</v>
      </c>
      <c r="B137" s="9" t="s">
        <v>374</v>
      </c>
      <c r="C137" s="17" t="s">
        <v>380</v>
      </c>
      <c r="D137" s="11" t="s">
        <v>209</v>
      </c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50"/>
      <c r="AO137" s="49"/>
      <c r="AP137" s="59">
        <v>10</v>
      </c>
      <c r="AQ137" s="41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</row>
    <row r="138" spans="1:64" s="32" customFormat="1" ht="45" x14ac:dyDescent="0.25">
      <c r="A138" s="6" t="s">
        <v>381</v>
      </c>
      <c r="B138" s="9" t="s">
        <v>377</v>
      </c>
      <c r="C138" s="17" t="s">
        <v>382</v>
      </c>
      <c r="D138" s="9" t="s">
        <v>209</v>
      </c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50"/>
      <c r="AO138" s="49"/>
      <c r="AP138" s="59">
        <v>1</v>
      </c>
      <c r="AQ138" s="41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</row>
    <row r="139" spans="1:64" s="32" customFormat="1" x14ac:dyDescent="0.25">
      <c r="A139" s="6"/>
      <c r="B139" s="6" t="s">
        <v>1155</v>
      </c>
      <c r="C139" s="39" t="s">
        <v>1156</v>
      </c>
      <c r="D139" s="9" t="s">
        <v>209</v>
      </c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50"/>
      <c r="AO139" s="49"/>
      <c r="AP139" s="51"/>
      <c r="AQ139" s="41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</row>
    <row r="140" spans="1:64" s="32" customFormat="1" ht="45" x14ac:dyDescent="0.25">
      <c r="A140" s="6" t="s">
        <v>1157</v>
      </c>
      <c r="B140" s="9" t="s">
        <v>1158</v>
      </c>
      <c r="C140" s="17" t="s">
        <v>1159</v>
      </c>
      <c r="D140" s="11"/>
      <c r="E140" s="61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50"/>
      <c r="AO140" s="49"/>
      <c r="AP140" s="59">
        <v>61.13</v>
      </c>
      <c r="AQ140" s="41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</row>
    <row r="141" spans="1:64" s="32" customFormat="1" ht="45" x14ac:dyDescent="0.25">
      <c r="A141" s="6" t="s">
        <v>1160</v>
      </c>
      <c r="B141" s="9" t="s">
        <v>1161</v>
      </c>
      <c r="C141" s="40" t="s">
        <v>1162</v>
      </c>
      <c r="D141" s="9" t="s">
        <v>11</v>
      </c>
      <c r="E141" s="53">
        <v>61.13</v>
      </c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50"/>
      <c r="AO141" s="49"/>
      <c r="AP141" s="59">
        <v>34.18</v>
      </c>
      <c r="AQ141" s="41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</row>
    <row r="142" spans="1:64" s="32" customFormat="1" ht="45" x14ac:dyDescent="0.25">
      <c r="A142" s="6" t="s">
        <v>1163</v>
      </c>
      <c r="B142" s="9" t="s">
        <v>1164</v>
      </c>
      <c r="C142" s="40" t="s">
        <v>1165</v>
      </c>
      <c r="D142" s="11" t="s">
        <v>51</v>
      </c>
      <c r="E142" s="61">
        <v>34.18</v>
      </c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50"/>
      <c r="AO142" s="49"/>
      <c r="AP142" s="59">
        <v>18.47</v>
      </c>
      <c r="AQ142" s="41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</row>
    <row r="143" spans="1:64" s="32" customFormat="1" ht="30" x14ac:dyDescent="0.25">
      <c r="A143" s="6" t="s">
        <v>1166</v>
      </c>
      <c r="B143" s="9" t="s">
        <v>1167</v>
      </c>
      <c r="C143" s="40" t="s">
        <v>1168</v>
      </c>
      <c r="D143" s="11" t="s">
        <v>51</v>
      </c>
      <c r="E143" s="61">
        <v>18.47</v>
      </c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50"/>
      <c r="AO143" s="49"/>
      <c r="AP143" s="59">
        <v>2.64</v>
      </c>
      <c r="AQ143" s="41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</row>
    <row r="144" spans="1:64" s="32" customFormat="1" ht="45" x14ac:dyDescent="0.25">
      <c r="A144" s="6" t="s">
        <v>974</v>
      </c>
      <c r="B144" s="9" t="s">
        <v>1169</v>
      </c>
      <c r="C144" s="40" t="s">
        <v>976</v>
      </c>
      <c r="D144" s="11" t="s">
        <v>51</v>
      </c>
      <c r="E144" s="61">
        <v>2.65</v>
      </c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50"/>
      <c r="AO144" s="49"/>
      <c r="AP144" s="59">
        <v>61.13</v>
      </c>
      <c r="AQ144" s="41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</row>
    <row r="145" spans="1:64" s="32" customFormat="1" ht="45" x14ac:dyDescent="0.25">
      <c r="A145" s="6" t="s">
        <v>1170</v>
      </c>
      <c r="B145" s="9" t="s">
        <v>1171</v>
      </c>
      <c r="C145" s="40" t="s">
        <v>1172</v>
      </c>
      <c r="D145" s="11" t="s">
        <v>11</v>
      </c>
      <c r="E145" s="61">
        <v>61.13</v>
      </c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50"/>
      <c r="AO145" s="49"/>
      <c r="AP145" s="59">
        <v>3.18</v>
      </c>
      <c r="AQ145" s="41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</row>
    <row r="146" spans="1:64" s="32" customFormat="1" x14ac:dyDescent="0.25">
      <c r="A146" s="6"/>
      <c r="B146" s="6" t="s">
        <v>383</v>
      </c>
      <c r="C146" s="7" t="s">
        <v>384</v>
      </c>
      <c r="D146" s="11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50"/>
      <c r="AO146" s="49"/>
      <c r="AP146" s="59"/>
      <c r="AQ146" s="41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</row>
    <row r="147" spans="1:64" s="32" customFormat="1" x14ac:dyDescent="0.25">
      <c r="A147" s="6"/>
      <c r="B147" s="6" t="s">
        <v>385</v>
      </c>
      <c r="C147" s="7" t="s">
        <v>386</v>
      </c>
      <c r="D147" s="11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50"/>
      <c r="AO147" s="49"/>
      <c r="AP147" s="59"/>
      <c r="AQ147" s="41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</row>
    <row r="148" spans="1:64" s="32" customFormat="1" ht="45" x14ac:dyDescent="0.25">
      <c r="A148" s="6" t="s">
        <v>387</v>
      </c>
      <c r="B148" s="9" t="s">
        <v>388</v>
      </c>
      <c r="C148" s="12" t="s">
        <v>389</v>
      </c>
      <c r="D148" s="11" t="s">
        <v>11</v>
      </c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50"/>
      <c r="AO148" s="49"/>
      <c r="AP148" s="60">
        <v>10</v>
      </c>
      <c r="AQ148" s="41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</row>
    <row r="149" spans="1:64" s="32" customFormat="1" ht="30" x14ac:dyDescent="0.25">
      <c r="A149" s="6" t="s">
        <v>390</v>
      </c>
      <c r="B149" s="9" t="s">
        <v>391</v>
      </c>
      <c r="C149" s="12" t="s">
        <v>392</v>
      </c>
      <c r="D149" s="11" t="s">
        <v>11</v>
      </c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50"/>
      <c r="AO149" s="49"/>
      <c r="AP149" s="60">
        <v>10</v>
      </c>
      <c r="AQ149" s="41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</row>
    <row r="150" spans="1:64" s="32" customFormat="1" x14ac:dyDescent="0.25">
      <c r="A150" s="6"/>
      <c r="B150" s="6" t="s">
        <v>393</v>
      </c>
      <c r="C150" s="7" t="s">
        <v>394</v>
      </c>
      <c r="D150" s="11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50"/>
      <c r="AO150" s="49"/>
      <c r="AP150" s="60"/>
      <c r="AQ150" s="41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</row>
    <row r="151" spans="1:64" s="32" customFormat="1" ht="30" x14ac:dyDescent="0.25">
      <c r="A151" s="6" t="s">
        <v>395</v>
      </c>
      <c r="B151" s="9" t="s">
        <v>396</v>
      </c>
      <c r="C151" s="12" t="s">
        <v>397</v>
      </c>
      <c r="D151" s="11" t="s">
        <v>42</v>
      </c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50"/>
      <c r="AO151" s="49"/>
      <c r="AP151" s="60">
        <v>80</v>
      </c>
      <c r="AQ151" s="41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</row>
    <row r="152" spans="1:64" s="32" customFormat="1" ht="45" x14ac:dyDescent="0.25">
      <c r="A152" s="6" t="s">
        <v>398</v>
      </c>
      <c r="B152" s="9" t="s">
        <v>399</v>
      </c>
      <c r="C152" s="12" t="s">
        <v>400</v>
      </c>
      <c r="D152" s="11" t="s">
        <v>209</v>
      </c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50"/>
      <c r="AO152" s="49"/>
      <c r="AP152" s="60">
        <v>6</v>
      </c>
      <c r="AQ152" s="41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</row>
    <row r="153" spans="1:64" s="32" customFormat="1" ht="30" x14ac:dyDescent="0.25">
      <c r="A153" s="6" t="s">
        <v>401</v>
      </c>
      <c r="B153" s="9" t="s">
        <v>402</v>
      </c>
      <c r="C153" s="12" t="s">
        <v>403</v>
      </c>
      <c r="D153" s="11" t="s">
        <v>42</v>
      </c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50"/>
      <c r="AO153" s="49"/>
      <c r="AP153" s="60">
        <v>160</v>
      </c>
      <c r="AQ153" s="41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</row>
    <row r="154" spans="1:64" s="32" customFormat="1" x14ac:dyDescent="0.25">
      <c r="A154" s="6"/>
      <c r="B154" s="6" t="s">
        <v>404</v>
      </c>
      <c r="C154" s="7" t="s">
        <v>405</v>
      </c>
      <c r="D154" s="11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50"/>
      <c r="AO154" s="49"/>
      <c r="AP154" s="59"/>
      <c r="AQ154" s="41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</row>
    <row r="155" spans="1:64" s="32" customFormat="1" ht="45" x14ac:dyDescent="0.25">
      <c r="A155" s="6" t="s">
        <v>406</v>
      </c>
      <c r="B155" s="9" t="s">
        <v>407</v>
      </c>
      <c r="C155" s="12" t="s">
        <v>408</v>
      </c>
      <c r="D155" s="11" t="s">
        <v>209</v>
      </c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50"/>
      <c r="AO155" s="49"/>
      <c r="AP155" s="60">
        <v>2</v>
      </c>
      <c r="AQ155" s="41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</row>
    <row r="156" spans="1:64" s="32" customFormat="1" ht="30" x14ac:dyDescent="0.25">
      <c r="A156" s="6" t="s">
        <v>409</v>
      </c>
      <c r="B156" s="9" t="s">
        <v>410</v>
      </c>
      <c r="C156" s="12" t="s">
        <v>411</v>
      </c>
      <c r="D156" s="11" t="s">
        <v>209</v>
      </c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50"/>
      <c r="AO156" s="49"/>
      <c r="AP156" s="60">
        <v>4</v>
      </c>
      <c r="AQ156" s="41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</row>
    <row r="157" spans="1:64" s="32" customFormat="1" ht="45" x14ac:dyDescent="0.25">
      <c r="A157" s="6" t="s">
        <v>412</v>
      </c>
      <c r="B157" s="9" t="s">
        <v>413</v>
      </c>
      <c r="C157" s="12" t="s">
        <v>414</v>
      </c>
      <c r="D157" s="11" t="s">
        <v>209</v>
      </c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50"/>
      <c r="AO157" s="49"/>
      <c r="AP157" s="60">
        <v>3</v>
      </c>
      <c r="AQ157" s="41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</row>
    <row r="158" spans="1:64" s="32" customFormat="1" ht="30" x14ac:dyDescent="0.25">
      <c r="A158" s="19" t="s">
        <v>415</v>
      </c>
      <c r="B158" s="9" t="s">
        <v>416</v>
      </c>
      <c r="C158" s="22" t="s">
        <v>417</v>
      </c>
      <c r="D158" s="20" t="s">
        <v>209</v>
      </c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50"/>
      <c r="AO158" s="49"/>
      <c r="AP158" s="62">
        <v>1</v>
      </c>
      <c r="AQ158" s="41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</row>
    <row r="159" spans="1:64" s="32" customFormat="1" ht="30" x14ac:dyDescent="0.25">
      <c r="A159" s="19" t="s">
        <v>418</v>
      </c>
      <c r="B159" s="9" t="s">
        <v>419</v>
      </c>
      <c r="C159" s="22" t="s">
        <v>420</v>
      </c>
      <c r="D159" s="20" t="s">
        <v>209</v>
      </c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50"/>
      <c r="AO159" s="49"/>
      <c r="AP159" s="62">
        <v>3</v>
      </c>
      <c r="AQ159" s="41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</row>
    <row r="160" spans="1:64" s="32" customFormat="1" ht="30" x14ac:dyDescent="0.25">
      <c r="A160" s="19" t="s">
        <v>421</v>
      </c>
      <c r="B160" s="9" t="s">
        <v>422</v>
      </c>
      <c r="C160" s="15" t="s">
        <v>423</v>
      </c>
      <c r="D160" s="20" t="s">
        <v>209</v>
      </c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50"/>
      <c r="AO160" s="49"/>
      <c r="AP160" s="62">
        <v>1</v>
      </c>
      <c r="AQ160" s="41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</row>
    <row r="161" spans="1:64" s="32" customFormat="1" ht="30" x14ac:dyDescent="0.25">
      <c r="A161" s="19" t="s">
        <v>424</v>
      </c>
      <c r="B161" s="9" t="s">
        <v>425</v>
      </c>
      <c r="C161" s="15" t="s">
        <v>426</v>
      </c>
      <c r="D161" s="20" t="s">
        <v>209</v>
      </c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50"/>
      <c r="AO161" s="49"/>
      <c r="AP161" s="62">
        <v>1</v>
      </c>
      <c r="AQ161" s="41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</row>
    <row r="162" spans="1:64" s="32" customFormat="1" ht="30" x14ac:dyDescent="0.25">
      <c r="A162" s="6" t="s">
        <v>427</v>
      </c>
      <c r="B162" s="9" t="s">
        <v>428</v>
      </c>
      <c r="C162" s="12" t="s">
        <v>429</v>
      </c>
      <c r="D162" s="11" t="s">
        <v>209</v>
      </c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50"/>
      <c r="AO162" s="49"/>
      <c r="AP162" s="60">
        <v>29</v>
      </c>
      <c r="AQ162" s="41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</row>
    <row r="163" spans="1:64" s="32" customFormat="1" ht="45" x14ac:dyDescent="0.25">
      <c r="A163" s="6" t="s">
        <v>430</v>
      </c>
      <c r="B163" s="9" t="s">
        <v>431</v>
      </c>
      <c r="C163" s="12" t="s">
        <v>432</v>
      </c>
      <c r="D163" s="11" t="s">
        <v>209</v>
      </c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50"/>
      <c r="AO163" s="49"/>
      <c r="AP163" s="60">
        <v>12</v>
      </c>
      <c r="AQ163" s="41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</row>
    <row r="164" spans="1:64" s="32" customFormat="1" ht="45" x14ac:dyDescent="0.25">
      <c r="A164" s="6" t="s">
        <v>433</v>
      </c>
      <c r="B164" s="9" t="s">
        <v>434</v>
      </c>
      <c r="C164" s="12" t="s">
        <v>435</v>
      </c>
      <c r="D164" s="11" t="s">
        <v>42</v>
      </c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50"/>
      <c r="AO164" s="49"/>
      <c r="AP164" s="60">
        <v>2.5</v>
      </c>
      <c r="AQ164" s="41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</row>
    <row r="165" spans="1:64" s="32" customFormat="1" x14ac:dyDescent="0.25">
      <c r="A165" s="6"/>
      <c r="B165" s="6" t="s">
        <v>436</v>
      </c>
      <c r="C165" s="7" t="s">
        <v>437</v>
      </c>
      <c r="D165" s="11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50"/>
      <c r="AO165" s="49"/>
      <c r="AP165" s="59"/>
      <c r="AQ165" s="41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</row>
    <row r="166" spans="1:64" s="32" customFormat="1" x14ac:dyDescent="0.25">
      <c r="A166" s="6"/>
      <c r="B166" s="6" t="s">
        <v>438</v>
      </c>
      <c r="C166" s="7" t="s">
        <v>439</v>
      </c>
      <c r="D166" s="11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50"/>
      <c r="AO166" s="49"/>
      <c r="AP166" s="59"/>
      <c r="AQ166" s="41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</row>
    <row r="167" spans="1:64" s="32" customFormat="1" ht="30" x14ac:dyDescent="0.25">
      <c r="A167" s="6" t="s">
        <v>440</v>
      </c>
      <c r="B167" s="9" t="s">
        <v>441</v>
      </c>
      <c r="C167" s="10" t="s">
        <v>442</v>
      </c>
      <c r="D167" s="11" t="s">
        <v>209</v>
      </c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50"/>
      <c r="AO167" s="49"/>
      <c r="AP167" s="59">
        <v>1</v>
      </c>
      <c r="AQ167" s="41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</row>
    <row r="168" spans="1:64" s="32" customFormat="1" ht="30" x14ac:dyDescent="0.25">
      <c r="A168" s="6" t="s">
        <v>443</v>
      </c>
      <c r="B168" s="9" t="s">
        <v>444</v>
      </c>
      <c r="C168" s="12" t="s">
        <v>445</v>
      </c>
      <c r="D168" s="11" t="s">
        <v>209</v>
      </c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50"/>
      <c r="AO168" s="49"/>
      <c r="AP168" s="59">
        <v>4</v>
      </c>
      <c r="AQ168" s="41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</row>
    <row r="169" spans="1:64" s="32" customFormat="1" ht="30" x14ac:dyDescent="0.25">
      <c r="A169" s="6" t="s">
        <v>446</v>
      </c>
      <c r="B169" s="9" t="s">
        <v>447</v>
      </c>
      <c r="C169" s="12" t="s">
        <v>448</v>
      </c>
      <c r="D169" s="11" t="s">
        <v>209</v>
      </c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50"/>
      <c r="AO169" s="49"/>
      <c r="AP169" s="59">
        <v>4</v>
      </c>
      <c r="AQ169" s="41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</row>
    <row r="170" spans="1:64" s="32" customFormat="1" ht="30" x14ac:dyDescent="0.25">
      <c r="A170" s="6" t="s">
        <v>449</v>
      </c>
      <c r="B170" s="9" t="s">
        <v>450</v>
      </c>
      <c r="C170" s="12" t="s">
        <v>451</v>
      </c>
      <c r="D170" s="11" t="s">
        <v>209</v>
      </c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50"/>
      <c r="AO170" s="49"/>
      <c r="AP170" s="59">
        <v>4</v>
      </c>
      <c r="AQ170" s="41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</row>
    <row r="171" spans="1:64" s="32" customFormat="1" ht="30" x14ac:dyDescent="0.25">
      <c r="A171" s="6" t="s">
        <v>452</v>
      </c>
      <c r="B171" s="9" t="s">
        <v>453</v>
      </c>
      <c r="C171" s="12" t="s">
        <v>454</v>
      </c>
      <c r="D171" s="11" t="s">
        <v>209</v>
      </c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50"/>
      <c r="AO171" s="49"/>
      <c r="AP171" s="59">
        <v>24</v>
      </c>
      <c r="AQ171" s="41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</row>
    <row r="172" spans="1:64" s="32" customFormat="1" ht="30" x14ac:dyDescent="0.25">
      <c r="A172" s="6" t="s">
        <v>455</v>
      </c>
      <c r="B172" s="9" t="s">
        <v>456</v>
      </c>
      <c r="C172" s="12" t="s">
        <v>457</v>
      </c>
      <c r="D172" s="11" t="s">
        <v>209</v>
      </c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50"/>
      <c r="AO172" s="49"/>
      <c r="AP172" s="59">
        <v>8</v>
      </c>
      <c r="AQ172" s="41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</row>
    <row r="173" spans="1:64" s="32" customFormat="1" ht="75" x14ac:dyDescent="0.25">
      <c r="A173" s="6" t="s">
        <v>458</v>
      </c>
      <c r="B173" s="9" t="s">
        <v>459</v>
      </c>
      <c r="C173" s="12" t="s">
        <v>460</v>
      </c>
      <c r="D173" s="11" t="s">
        <v>209</v>
      </c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50"/>
      <c r="AO173" s="49"/>
      <c r="AP173" s="59">
        <v>1</v>
      </c>
      <c r="AQ173" s="41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</row>
    <row r="174" spans="1:64" s="32" customFormat="1" ht="45" x14ac:dyDescent="0.25">
      <c r="A174" s="6" t="s">
        <v>461</v>
      </c>
      <c r="B174" s="9" t="s">
        <v>462</v>
      </c>
      <c r="C174" s="12" t="s">
        <v>463</v>
      </c>
      <c r="D174" s="11" t="s">
        <v>209</v>
      </c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50"/>
      <c r="AO174" s="49"/>
      <c r="AP174" s="59">
        <v>1</v>
      </c>
      <c r="AQ174" s="41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</row>
    <row r="175" spans="1:64" s="32" customFormat="1" ht="30" x14ac:dyDescent="0.25">
      <c r="A175" s="6" t="s">
        <v>464</v>
      </c>
      <c r="B175" s="9" t="s">
        <v>465</v>
      </c>
      <c r="C175" s="12" t="s">
        <v>466</v>
      </c>
      <c r="D175" s="11" t="s">
        <v>209</v>
      </c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50"/>
      <c r="AO175" s="49"/>
      <c r="AP175" s="59">
        <v>12</v>
      </c>
      <c r="AQ175" s="41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</row>
    <row r="176" spans="1:64" s="32" customFormat="1" ht="30" x14ac:dyDescent="0.25">
      <c r="A176" s="6" t="s">
        <v>467</v>
      </c>
      <c r="B176" s="9" t="s">
        <v>468</v>
      </c>
      <c r="C176" s="12" t="s">
        <v>469</v>
      </c>
      <c r="D176" s="11" t="s">
        <v>209</v>
      </c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50"/>
      <c r="AO176" s="49"/>
      <c r="AP176" s="59">
        <v>12</v>
      </c>
      <c r="AQ176" s="41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</row>
    <row r="177" spans="1:64" s="32" customFormat="1" ht="30" x14ac:dyDescent="0.25">
      <c r="A177" s="6" t="s">
        <v>26</v>
      </c>
      <c r="B177" s="9" t="s">
        <v>470</v>
      </c>
      <c r="C177" s="12" t="s">
        <v>471</v>
      </c>
      <c r="D177" s="11" t="s">
        <v>209</v>
      </c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50"/>
      <c r="AO177" s="49"/>
      <c r="AP177" s="59">
        <v>6</v>
      </c>
      <c r="AQ177" s="41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</row>
    <row r="178" spans="1:64" s="32" customFormat="1" ht="45" x14ac:dyDescent="0.25">
      <c r="A178" s="6" t="s">
        <v>472</v>
      </c>
      <c r="B178" s="9" t="s">
        <v>473</v>
      </c>
      <c r="C178" s="13" t="s">
        <v>474</v>
      </c>
      <c r="D178" s="11" t="s">
        <v>42</v>
      </c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50"/>
      <c r="AO178" s="49"/>
      <c r="AP178" s="57">
        <v>10</v>
      </c>
      <c r="AQ178" s="41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</row>
    <row r="179" spans="1:64" s="32" customFormat="1" ht="30" x14ac:dyDescent="0.25">
      <c r="A179" s="6" t="s">
        <v>475</v>
      </c>
      <c r="B179" s="9" t="s">
        <v>476</v>
      </c>
      <c r="C179" s="12" t="s">
        <v>477</v>
      </c>
      <c r="D179" s="11" t="s">
        <v>42</v>
      </c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50"/>
      <c r="AO179" s="49"/>
      <c r="AP179" s="59">
        <v>12</v>
      </c>
      <c r="AQ179" s="41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</row>
    <row r="180" spans="1:64" s="32" customFormat="1" ht="30" x14ac:dyDescent="0.25">
      <c r="A180" s="6" t="s">
        <v>478</v>
      </c>
      <c r="B180" s="9" t="s">
        <v>479</v>
      </c>
      <c r="C180" s="12" t="s">
        <v>480</v>
      </c>
      <c r="D180" s="11" t="s">
        <v>78</v>
      </c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50"/>
      <c r="AO180" s="49"/>
      <c r="AP180" s="59">
        <v>9</v>
      </c>
      <c r="AQ180" s="41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</row>
    <row r="181" spans="1:64" s="32" customFormat="1" ht="75" x14ac:dyDescent="0.25">
      <c r="A181" s="19" t="s">
        <v>481</v>
      </c>
      <c r="B181" s="9" t="s">
        <v>482</v>
      </c>
      <c r="C181" s="22" t="s">
        <v>483</v>
      </c>
      <c r="D181" s="20" t="s">
        <v>209</v>
      </c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50"/>
      <c r="AO181" s="49"/>
      <c r="AP181" s="59">
        <v>3</v>
      </c>
      <c r="AQ181" s="41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</row>
    <row r="182" spans="1:64" s="32" customFormat="1" ht="45" x14ac:dyDescent="0.25">
      <c r="A182" s="6" t="s">
        <v>484</v>
      </c>
      <c r="B182" s="9" t="s">
        <v>485</v>
      </c>
      <c r="C182" s="12" t="s">
        <v>486</v>
      </c>
      <c r="D182" s="11" t="s">
        <v>209</v>
      </c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50"/>
      <c r="AO182" s="49"/>
      <c r="AP182" s="59">
        <v>3</v>
      </c>
      <c r="AQ182" s="41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</row>
    <row r="183" spans="1:64" s="32" customFormat="1" x14ac:dyDescent="0.25">
      <c r="A183" s="6"/>
      <c r="B183" s="6" t="s">
        <v>487</v>
      </c>
      <c r="C183" s="7" t="s">
        <v>488</v>
      </c>
      <c r="D183" s="11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50"/>
      <c r="AO183" s="49"/>
      <c r="AP183" s="59"/>
      <c r="AQ183" s="41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</row>
    <row r="184" spans="1:64" s="32" customFormat="1" ht="30" x14ac:dyDescent="0.25">
      <c r="A184" s="6" t="s">
        <v>440</v>
      </c>
      <c r="B184" s="9" t="s">
        <v>489</v>
      </c>
      <c r="C184" s="10" t="s">
        <v>442</v>
      </c>
      <c r="D184" s="11" t="s">
        <v>209</v>
      </c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50"/>
      <c r="AO184" s="49"/>
      <c r="AP184" s="59">
        <v>1</v>
      </c>
      <c r="AQ184" s="41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</row>
    <row r="185" spans="1:64" s="32" customFormat="1" ht="30" x14ac:dyDescent="0.25">
      <c r="A185" s="6" t="s">
        <v>490</v>
      </c>
      <c r="B185" s="9" t="s">
        <v>491</v>
      </c>
      <c r="C185" s="13" t="s">
        <v>492</v>
      </c>
      <c r="D185" s="11" t="s">
        <v>209</v>
      </c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50"/>
      <c r="AO185" s="49"/>
      <c r="AP185" s="59">
        <v>3</v>
      </c>
      <c r="AQ185" s="41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</row>
    <row r="186" spans="1:64" s="32" customFormat="1" ht="30" x14ac:dyDescent="0.25">
      <c r="A186" s="6" t="s">
        <v>452</v>
      </c>
      <c r="B186" s="9" t="s">
        <v>493</v>
      </c>
      <c r="C186" s="12" t="s">
        <v>454</v>
      </c>
      <c r="D186" s="11" t="s">
        <v>209</v>
      </c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50"/>
      <c r="AO186" s="49"/>
      <c r="AP186" s="59">
        <v>7</v>
      </c>
      <c r="AQ186" s="41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</row>
    <row r="187" spans="1:64" s="32" customFormat="1" ht="30" x14ac:dyDescent="0.25">
      <c r="A187" s="6" t="s">
        <v>494</v>
      </c>
      <c r="B187" s="9" t="s">
        <v>495</v>
      </c>
      <c r="C187" s="12" t="s">
        <v>496</v>
      </c>
      <c r="D187" s="11" t="s">
        <v>209</v>
      </c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50"/>
      <c r="AO187" s="49"/>
      <c r="AP187" s="59">
        <v>2</v>
      </c>
      <c r="AQ187" s="41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</row>
    <row r="188" spans="1:64" s="32" customFormat="1" ht="30" x14ac:dyDescent="0.25">
      <c r="A188" s="6" t="s">
        <v>497</v>
      </c>
      <c r="B188" s="9" t="s">
        <v>498</v>
      </c>
      <c r="C188" s="13" t="s">
        <v>499</v>
      </c>
      <c r="D188" s="11" t="s">
        <v>209</v>
      </c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50"/>
      <c r="AO188" s="49"/>
      <c r="AP188" s="59">
        <v>3</v>
      </c>
      <c r="AQ188" s="41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</row>
    <row r="189" spans="1:64" s="32" customFormat="1" ht="30" x14ac:dyDescent="0.25">
      <c r="A189" s="6" t="s">
        <v>467</v>
      </c>
      <c r="B189" s="9" t="s">
        <v>500</v>
      </c>
      <c r="C189" s="12" t="s">
        <v>469</v>
      </c>
      <c r="D189" s="11" t="s">
        <v>209</v>
      </c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50"/>
      <c r="AO189" s="49"/>
      <c r="AP189" s="59">
        <v>3</v>
      </c>
      <c r="AQ189" s="41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</row>
    <row r="190" spans="1:64" s="32" customFormat="1" ht="30" x14ac:dyDescent="0.25">
      <c r="A190" s="6" t="s">
        <v>464</v>
      </c>
      <c r="B190" s="9" t="s">
        <v>501</v>
      </c>
      <c r="C190" s="12" t="s">
        <v>466</v>
      </c>
      <c r="D190" s="11" t="s">
        <v>209</v>
      </c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50"/>
      <c r="AO190" s="49"/>
      <c r="AP190" s="59">
        <v>3</v>
      </c>
      <c r="AQ190" s="41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</row>
    <row r="191" spans="1:64" s="32" customFormat="1" ht="30" x14ac:dyDescent="0.25">
      <c r="A191" s="6" t="s">
        <v>502</v>
      </c>
      <c r="B191" s="9" t="s">
        <v>503</v>
      </c>
      <c r="C191" s="12" t="s">
        <v>504</v>
      </c>
      <c r="D191" s="11" t="s">
        <v>209</v>
      </c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50"/>
      <c r="AO191" s="49"/>
      <c r="AP191" s="59">
        <v>3</v>
      </c>
      <c r="AQ191" s="41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</row>
    <row r="192" spans="1:64" s="32" customFormat="1" ht="30" x14ac:dyDescent="0.25">
      <c r="A192" s="6" t="s">
        <v>505</v>
      </c>
      <c r="B192" s="9" t="s">
        <v>506</v>
      </c>
      <c r="C192" s="10" t="s">
        <v>507</v>
      </c>
      <c r="D192" s="11" t="s">
        <v>209</v>
      </c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50"/>
      <c r="AO192" s="49"/>
      <c r="AP192" s="59">
        <v>3</v>
      </c>
      <c r="AQ192" s="41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</row>
    <row r="193" spans="1:64" s="32" customFormat="1" ht="30" x14ac:dyDescent="0.25">
      <c r="A193" s="6" t="s">
        <v>475</v>
      </c>
      <c r="B193" s="9" t="s">
        <v>508</v>
      </c>
      <c r="C193" s="12" t="s">
        <v>477</v>
      </c>
      <c r="D193" s="11" t="s">
        <v>42</v>
      </c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50"/>
      <c r="AO193" s="49"/>
      <c r="AP193" s="59">
        <v>6</v>
      </c>
      <c r="AQ193" s="41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</row>
    <row r="194" spans="1:64" s="32" customFormat="1" ht="30" x14ac:dyDescent="0.25">
      <c r="A194" s="6" t="s">
        <v>443</v>
      </c>
      <c r="B194" s="9" t="s">
        <v>509</v>
      </c>
      <c r="C194" s="12" t="s">
        <v>445</v>
      </c>
      <c r="D194" s="11" t="s">
        <v>209</v>
      </c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50"/>
      <c r="AO194" s="49"/>
      <c r="AP194" s="59">
        <v>2</v>
      </c>
      <c r="AQ194" s="41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</row>
    <row r="195" spans="1:64" s="32" customFormat="1" ht="30" x14ac:dyDescent="0.25">
      <c r="A195" s="6" t="s">
        <v>510</v>
      </c>
      <c r="B195" s="9" t="s">
        <v>511</v>
      </c>
      <c r="C195" s="12" t="s">
        <v>512</v>
      </c>
      <c r="D195" s="11" t="s">
        <v>209</v>
      </c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50"/>
      <c r="AO195" s="49"/>
      <c r="AP195" s="60">
        <v>1</v>
      </c>
      <c r="AQ195" s="41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</row>
    <row r="196" spans="1:64" s="32" customFormat="1" ht="30" x14ac:dyDescent="0.25">
      <c r="A196" s="6" t="s">
        <v>513</v>
      </c>
      <c r="B196" s="9" t="s">
        <v>514</v>
      </c>
      <c r="C196" s="12" t="s">
        <v>515</v>
      </c>
      <c r="D196" s="11" t="s">
        <v>209</v>
      </c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50"/>
      <c r="AO196" s="49"/>
      <c r="AP196" s="60">
        <v>1</v>
      </c>
      <c r="AQ196" s="41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</row>
    <row r="197" spans="1:64" s="32" customFormat="1" ht="30" x14ac:dyDescent="0.25">
      <c r="A197" s="6" t="s">
        <v>516</v>
      </c>
      <c r="B197" s="9" t="s">
        <v>517</v>
      </c>
      <c r="C197" s="12" t="s">
        <v>518</v>
      </c>
      <c r="D197" s="11" t="s">
        <v>209</v>
      </c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50"/>
      <c r="AO197" s="49"/>
      <c r="AP197" s="60">
        <v>30</v>
      </c>
      <c r="AQ197" s="41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</row>
    <row r="198" spans="1:64" s="32" customFormat="1" ht="30" x14ac:dyDescent="0.25">
      <c r="A198" s="6" t="s">
        <v>519</v>
      </c>
      <c r="B198" s="9" t="s">
        <v>520</v>
      </c>
      <c r="C198" s="12" t="s">
        <v>521</v>
      </c>
      <c r="D198" s="11" t="s">
        <v>209</v>
      </c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50"/>
      <c r="AO198" s="49"/>
      <c r="AP198" s="60">
        <v>30</v>
      </c>
      <c r="AQ198" s="41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</row>
    <row r="199" spans="1:64" s="32" customFormat="1" ht="30" x14ac:dyDescent="0.25">
      <c r="A199" s="6" t="s">
        <v>26</v>
      </c>
      <c r="B199" s="9" t="s">
        <v>522</v>
      </c>
      <c r="C199" s="12" t="s">
        <v>523</v>
      </c>
      <c r="D199" s="11" t="s">
        <v>209</v>
      </c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50"/>
      <c r="AO199" s="49"/>
      <c r="AP199" s="60">
        <v>60</v>
      </c>
      <c r="AQ199" s="41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</row>
    <row r="200" spans="1:64" s="32" customFormat="1" ht="30" x14ac:dyDescent="0.25">
      <c r="A200" s="6" t="s">
        <v>524</v>
      </c>
      <c r="B200" s="9" t="s">
        <v>525</v>
      </c>
      <c r="C200" s="12" t="s">
        <v>526</v>
      </c>
      <c r="D200" s="11" t="s">
        <v>209</v>
      </c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50"/>
      <c r="AO200" s="49"/>
      <c r="AP200" s="60">
        <v>60</v>
      </c>
      <c r="AQ200" s="41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</row>
    <row r="201" spans="1:64" s="32" customFormat="1" ht="30" x14ac:dyDescent="0.25">
      <c r="A201" s="6" t="s">
        <v>527</v>
      </c>
      <c r="B201" s="9" t="s">
        <v>528</v>
      </c>
      <c r="C201" s="12" t="s">
        <v>529</v>
      </c>
      <c r="D201" s="11" t="s">
        <v>209</v>
      </c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50"/>
      <c r="AO201" s="49"/>
      <c r="AP201" s="60">
        <v>30</v>
      </c>
      <c r="AQ201" s="41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</row>
    <row r="202" spans="1:64" s="32" customFormat="1" ht="30" x14ac:dyDescent="0.25">
      <c r="A202" s="6" t="s">
        <v>530</v>
      </c>
      <c r="B202" s="9" t="s">
        <v>531</v>
      </c>
      <c r="C202" s="33" t="s">
        <v>532</v>
      </c>
      <c r="D202" s="11" t="s">
        <v>209</v>
      </c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50"/>
      <c r="AO202" s="49"/>
      <c r="AP202" s="60">
        <v>3</v>
      </c>
      <c r="AQ202" s="41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</row>
    <row r="203" spans="1:64" s="32" customFormat="1" ht="30" x14ac:dyDescent="0.25">
      <c r="A203" s="6" t="s">
        <v>533</v>
      </c>
      <c r="B203" s="9" t="s">
        <v>534</v>
      </c>
      <c r="C203" s="12" t="s">
        <v>535</v>
      </c>
      <c r="D203" s="11" t="s">
        <v>209</v>
      </c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50"/>
      <c r="AO203" s="49"/>
      <c r="AP203" s="60">
        <v>1</v>
      </c>
      <c r="AQ203" s="41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</row>
    <row r="204" spans="1:64" s="32" customFormat="1" ht="30" x14ac:dyDescent="0.25">
      <c r="A204" s="6" t="s">
        <v>26</v>
      </c>
      <c r="B204" s="9" t="s">
        <v>536</v>
      </c>
      <c r="C204" s="34" t="s">
        <v>537</v>
      </c>
      <c r="D204" s="11" t="s">
        <v>42</v>
      </c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50"/>
      <c r="AO204" s="49"/>
      <c r="AP204" s="59">
        <v>4.9000000000000004</v>
      </c>
      <c r="AQ204" s="41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</row>
    <row r="205" spans="1:64" s="32" customFormat="1" ht="30" x14ac:dyDescent="0.25">
      <c r="A205" s="6" t="s">
        <v>538</v>
      </c>
      <c r="B205" s="9" t="s">
        <v>539</v>
      </c>
      <c r="C205" s="34" t="s">
        <v>540</v>
      </c>
      <c r="D205" s="11" t="s">
        <v>42</v>
      </c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50"/>
      <c r="AO205" s="49"/>
      <c r="AP205" s="59">
        <v>3.3</v>
      </c>
      <c r="AQ205" s="41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</row>
    <row r="206" spans="1:64" s="32" customFormat="1" ht="30" x14ac:dyDescent="0.25">
      <c r="A206" s="6" t="s">
        <v>541</v>
      </c>
      <c r="B206" s="9" t="s">
        <v>542</v>
      </c>
      <c r="C206" s="12" t="s">
        <v>543</v>
      </c>
      <c r="D206" s="11" t="s">
        <v>11</v>
      </c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50"/>
      <c r="AO206" s="49"/>
      <c r="AP206" s="60">
        <v>0.09</v>
      </c>
      <c r="AQ206" s="41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</row>
    <row r="207" spans="1:64" s="32" customFormat="1" ht="30" x14ac:dyDescent="0.25">
      <c r="A207" s="6" t="s">
        <v>26</v>
      </c>
      <c r="B207" s="9" t="s">
        <v>544</v>
      </c>
      <c r="C207" s="12" t="s">
        <v>545</v>
      </c>
      <c r="D207" s="11" t="s">
        <v>209</v>
      </c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50"/>
      <c r="AO207" s="49"/>
      <c r="AP207" s="60">
        <v>1</v>
      </c>
      <c r="AQ207" s="41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</row>
    <row r="208" spans="1:64" s="32" customFormat="1" ht="30" x14ac:dyDescent="0.25">
      <c r="A208" s="6"/>
      <c r="B208" s="6" t="s">
        <v>546</v>
      </c>
      <c r="C208" s="7" t="s">
        <v>547</v>
      </c>
      <c r="D208" s="11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50"/>
      <c r="AO208" s="49"/>
      <c r="AP208" s="59"/>
      <c r="AQ208" s="41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</row>
    <row r="209" spans="1:64" s="32" customFormat="1" ht="60" x14ac:dyDescent="0.25">
      <c r="A209" s="6" t="s">
        <v>26</v>
      </c>
      <c r="B209" s="9" t="s">
        <v>548</v>
      </c>
      <c r="C209" s="12" t="s">
        <v>549</v>
      </c>
      <c r="D209" s="11" t="s">
        <v>209</v>
      </c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50"/>
      <c r="AO209" s="49"/>
      <c r="AP209" s="59">
        <v>1</v>
      </c>
      <c r="AQ209" s="41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</row>
    <row r="210" spans="1:64" s="32" customFormat="1" ht="60" x14ac:dyDescent="0.25">
      <c r="A210" s="6" t="s">
        <v>550</v>
      </c>
      <c r="B210" s="9" t="s">
        <v>551</v>
      </c>
      <c r="C210" s="12" t="s">
        <v>552</v>
      </c>
      <c r="D210" s="11" t="s">
        <v>209</v>
      </c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50"/>
      <c r="AO210" s="49"/>
      <c r="AP210" s="60">
        <v>3</v>
      </c>
      <c r="AQ210" s="41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</row>
    <row r="211" spans="1:64" s="32" customFormat="1" ht="60" x14ac:dyDescent="0.25">
      <c r="A211" s="6" t="s">
        <v>553</v>
      </c>
      <c r="B211" s="9" t="s">
        <v>554</v>
      </c>
      <c r="C211" s="12" t="s">
        <v>555</v>
      </c>
      <c r="D211" s="11" t="s">
        <v>209</v>
      </c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50"/>
      <c r="AO211" s="49"/>
      <c r="AP211" s="60">
        <v>1</v>
      </c>
      <c r="AQ211" s="41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</row>
    <row r="212" spans="1:64" s="32" customFormat="1" x14ac:dyDescent="0.25">
      <c r="A212" s="6"/>
      <c r="B212" s="6" t="s">
        <v>556</v>
      </c>
      <c r="C212" s="7" t="s">
        <v>557</v>
      </c>
      <c r="D212" s="11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50"/>
      <c r="AO212" s="49"/>
      <c r="AP212" s="59"/>
      <c r="AQ212" s="41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</row>
    <row r="213" spans="1:64" s="32" customFormat="1" ht="30" x14ac:dyDescent="0.25">
      <c r="A213" s="6" t="s">
        <v>558</v>
      </c>
      <c r="B213" s="9" t="s">
        <v>559</v>
      </c>
      <c r="C213" s="12" t="s">
        <v>560</v>
      </c>
      <c r="D213" s="11" t="s">
        <v>42</v>
      </c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50"/>
      <c r="AO213" s="49"/>
      <c r="AP213" s="60">
        <v>1667</v>
      </c>
      <c r="AQ213" s="41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</row>
    <row r="214" spans="1:64" s="32" customFormat="1" ht="30" x14ac:dyDescent="0.25">
      <c r="A214" s="6" t="s">
        <v>561</v>
      </c>
      <c r="B214" s="9" t="s">
        <v>562</v>
      </c>
      <c r="C214" s="12" t="s">
        <v>563</v>
      </c>
      <c r="D214" s="11" t="s">
        <v>42</v>
      </c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50"/>
      <c r="AO214" s="49"/>
      <c r="AP214" s="60">
        <v>5</v>
      </c>
      <c r="AQ214" s="41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</row>
    <row r="215" spans="1:64" s="32" customFormat="1" ht="30" x14ac:dyDescent="0.25">
      <c r="A215" s="6" t="s">
        <v>564</v>
      </c>
      <c r="B215" s="9" t="s">
        <v>565</v>
      </c>
      <c r="C215" s="10" t="s">
        <v>566</v>
      </c>
      <c r="D215" s="11" t="s">
        <v>42</v>
      </c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50"/>
      <c r="AO215" s="49"/>
      <c r="AP215" s="60">
        <v>360</v>
      </c>
      <c r="AQ215" s="41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</row>
    <row r="216" spans="1:64" s="32" customFormat="1" ht="30" x14ac:dyDescent="0.25">
      <c r="A216" s="6" t="s">
        <v>567</v>
      </c>
      <c r="B216" s="9" t="s">
        <v>568</v>
      </c>
      <c r="C216" s="10" t="s">
        <v>569</v>
      </c>
      <c r="D216" s="11" t="s">
        <v>42</v>
      </c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50"/>
      <c r="AO216" s="49"/>
      <c r="AP216" s="60">
        <v>35</v>
      </c>
      <c r="AQ216" s="41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</row>
    <row r="217" spans="1:64" s="32" customFormat="1" ht="45" x14ac:dyDescent="0.25">
      <c r="A217" s="6" t="s">
        <v>570</v>
      </c>
      <c r="B217" s="9" t="s">
        <v>571</v>
      </c>
      <c r="C217" s="12" t="s">
        <v>572</v>
      </c>
      <c r="D217" s="11" t="s">
        <v>42</v>
      </c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50"/>
      <c r="AO217" s="49"/>
      <c r="AP217" s="60">
        <v>7200</v>
      </c>
      <c r="AQ217" s="41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</row>
    <row r="218" spans="1:64" s="32" customFormat="1" ht="45" x14ac:dyDescent="0.25">
      <c r="A218" s="6" t="s">
        <v>573</v>
      </c>
      <c r="B218" s="9" t="s">
        <v>574</v>
      </c>
      <c r="C218" s="12" t="s">
        <v>575</v>
      </c>
      <c r="D218" s="11" t="s">
        <v>42</v>
      </c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50"/>
      <c r="AO218" s="49"/>
      <c r="AP218" s="60">
        <v>450</v>
      </c>
      <c r="AQ218" s="41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</row>
    <row r="219" spans="1:64" s="32" customFormat="1" ht="45" x14ac:dyDescent="0.25">
      <c r="A219" s="6" t="s">
        <v>576</v>
      </c>
      <c r="B219" s="9" t="s">
        <v>577</v>
      </c>
      <c r="C219" s="12" t="s">
        <v>578</v>
      </c>
      <c r="D219" s="11" t="s">
        <v>42</v>
      </c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50"/>
      <c r="AO219" s="49"/>
      <c r="AP219" s="60">
        <v>53</v>
      </c>
      <c r="AQ219" s="41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</row>
    <row r="220" spans="1:64" s="32" customFormat="1" ht="45" x14ac:dyDescent="0.25">
      <c r="A220" s="6" t="s">
        <v>579</v>
      </c>
      <c r="B220" s="9" t="s">
        <v>580</v>
      </c>
      <c r="C220" s="12" t="s">
        <v>581</v>
      </c>
      <c r="D220" s="11" t="s">
        <v>42</v>
      </c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50"/>
      <c r="AO220" s="49"/>
      <c r="AP220" s="60">
        <v>41</v>
      </c>
      <c r="AQ220" s="41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</row>
    <row r="221" spans="1:64" s="32" customFormat="1" ht="45" x14ac:dyDescent="0.25">
      <c r="A221" s="6" t="s">
        <v>582</v>
      </c>
      <c r="B221" s="9" t="s">
        <v>583</v>
      </c>
      <c r="C221" s="12" t="s">
        <v>584</v>
      </c>
      <c r="D221" s="11" t="s">
        <v>42</v>
      </c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50"/>
      <c r="AO221" s="49"/>
      <c r="AP221" s="60">
        <v>60</v>
      </c>
      <c r="AQ221" s="41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</row>
    <row r="222" spans="1:64" s="32" customFormat="1" ht="45" x14ac:dyDescent="0.25">
      <c r="A222" s="6" t="s">
        <v>585</v>
      </c>
      <c r="B222" s="9" t="s">
        <v>586</v>
      </c>
      <c r="C222" s="12" t="s">
        <v>587</v>
      </c>
      <c r="D222" s="11" t="s">
        <v>42</v>
      </c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50"/>
      <c r="AO222" s="49"/>
      <c r="AP222" s="60">
        <v>60</v>
      </c>
      <c r="AQ222" s="41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</row>
    <row r="223" spans="1:64" s="32" customFormat="1" ht="45" x14ac:dyDescent="0.25">
      <c r="A223" s="6" t="s">
        <v>588</v>
      </c>
      <c r="B223" s="9" t="s">
        <v>589</v>
      </c>
      <c r="C223" s="12" t="s">
        <v>590</v>
      </c>
      <c r="D223" s="11" t="s">
        <v>42</v>
      </c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50"/>
      <c r="AO223" s="49"/>
      <c r="AP223" s="60">
        <v>159.24</v>
      </c>
      <c r="AQ223" s="41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</row>
    <row r="224" spans="1:64" s="32" customFormat="1" x14ac:dyDescent="0.25">
      <c r="A224" s="6"/>
      <c r="B224" s="6" t="s">
        <v>591</v>
      </c>
      <c r="C224" s="7" t="s">
        <v>592</v>
      </c>
      <c r="D224" s="11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50"/>
      <c r="AO224" s="49"/>
      <c r="AP224" s="59"/>
      <c r="AQ224" s="41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</row>
    <row r="225" spans="1:64" s="32" customFormat="1" ht="30" x14ac:dyDescent="0.25">
      <c r="A225" s="6" t="s">
        <v>593</v>
      </c>
      <c r="B225" s="9" t="s">
        <v>594</v>
      </c>
      <c r="C225" s="12" t="s">
        <v>595</v>
      </c>
      <c r="D225" s="11" t="s">
        <v>42</v>
      </c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50"/>
      <c r="AO225" s="49"/>
      <c r="AP225" s="60">
        <v>35</v>
      </c>
      <c r="AQ225" s="41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</row>
    <row r="226" spans="1:64" s="32" customFormat="1" ht="30" x14ac:dyDescent="0.25">
      <c r="A226" s="6" t="s">
        <v>596</v>
      </c>
      <c r="B226" s="9" t="s">
        <v>597</v>
      </c>
      <c r="C226" s="12" t="s">
        <v>598</v>
      </c>
      <c r="D226" s="11" t="s">
        <v>42</v>
      </c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50"/>
      <c r="AO226" s="49"/>
      <c r="AP226" s="60">
        <v>20</v>
      </c>
      <c r="AQ226" s="41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</row>
    <row r="227" spans="1:64" s="32" customFormat="1" ht="30" x14ac:dyDescent="0.25">
      <c r="A227" s="6" t="s">
        <v>599</v>
      </c>
      <c r="B227" s="9" t="s">
        <v>600</v>
      </c>
      <c r="C227" s="12" t="s">
        <v>601</v>
      </c>
      <c r="D227" s="11" t="s">
        <v>42</v>
      </c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50"/>
      <c r="AO227" s="49"/>
      <c r="AP227" s="60">
        <v>20</v>
      </c>
      <c r="AQ227" s="41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</row>
    <row r="228" spans="1:64" s="32" customFormat="1" ht="45" x14ac:dyDescent="0.25">
      <c r="A228" s="6" t="s">
        <v>602</v>
      </c>
      <c r="B228" s="9" t="s">
        <v>603</v>
      </c>
      <c r="C228" s="12" t="s">
        <v>604</v>
      </c>
      <c r="D228" s="11" t="s">
        <v>42</v>
      </c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50"/>
      <c r="AO228" s="49"/>
      <c r="AP228" s="60">
        <v>9</v>
      </c>
      <c r="AQ228" s="41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</row>
    <row r="229" spans="1:64" s="32" customFormat="1" ht="45" x14ac:dyDescent="0.25">
      <c r="A229" s="6" t="s">
        <v>605</v>
      </c>
      <c r="B229" s="9" t="s">
        <v>606</v>
      </c>
      <c r="C229" s="12" t="s">
        <v>607</v>
      </c>
      <c r="D229" s="11" t="s">
        <v>42</v>
      </c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50"/>
      <c r="AO229" s="49"/>
      <c r="AP229" s="60">
        <v>35</v>
      </c>
      <c r="AQ229" s="41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</row>
    <row r="230" spans="1:64" s="32" customFormat="1" ht="45" x14ac:dyDescent="0.25">
      <c r="A230" s="6" t="s">
        <v>608</v>
      </c>
      <c r="B230" s="9" t="s">
        <v>609</v>
      </c>
      <c r="C230" s="12" t="s">
        <v>610</v>
      </c>
      <c r="D230" s="11" t="s">
        <v>42</v>
      </c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50"/>
      <c r="AO230" s="49"/>
      <c r="AP230" s="60">
        <v>12</v>
      </c>
      <c r="AQ230" s="41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</row>
    <row r="231" spans="1:64" s="32" customFormat="1" ht="30" x14ac:dyDescent="0.25">
      <c r="A231" s="6" t="s">
        <v>611</v>
      </c>
      <c r="B231" s="9" t="s">
        <v>612</v>
      </c>
      <c r="C231" s="12" t="s">
        <v>613</v>
      </c>
      <c r="D231" s="11" t="s">
        <v>42</v>
      </c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50"/>
      <c r="AO231" s="49"/>
      <c r="AP231" s="60">
        <v>908</v>
      </c>
      <c r="AQ231" s="41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</row>
    <row r="232" spans="1:64" s="32" customFormat="1" ht="30" x14ac:dyDescent="0.25">
      <c r="A232" s="6" t="s">
        <v>614</v>
      </c>
      <c r="B232" s="9" t="s">
        <v>615</v>
      </c>
      <c r="C232" s="12" t="s">
        <v>616</v>
      </c>
      <c r="D232" s="11" t="s">
        <v>42</v>
      </c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50"/>
      <c r="AO232" s="49"/>
      <c r="AP232" s="60">
        <v>535</v>
      </c>
      <c r="AQ232" s="41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</row>
    <row r="233" spans="1:64" s="32" customFormat="1" ht="30" x14ac:dyDescent="0.25">
      <c r="A233" s="6" t="s">
        <v>617</v>
      </c>
      <c r="B233" s="9" t="s">
        <v>618</v>
      </c>
      <c r="C233" s="12" t="s">
        <v>619</v>
      </c>
      <c r="D233" s="11" t="s">
        <v>42</v>
      </c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50"/>
      <c r="AO233" s="49"/>
      <c r="AP233" s="60">
        <v>285</v>
      </c>
      <c r="AQ233" s="41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</row>
    <row r="234" spans="1:64" s="32" customFormat="1" ht="30" x14ac:dyDescent="0.25">
      <c r="A234" s="6" t="s">
        <v>620</v>
      </c>
      <c r="B234" s="9" t="s">
        <v>621</v>
      </c>
      <c r="C234" s="12" t="s">
        <v>622</v>
      </c>
      <c r="D234" s="11" t="s">
        <v>42</v>
      </c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50"/>
      <c r="AO234" s="49"/>
      <c r="AP234" s="60">
        <v>95</v>
      </c>
      <c r="AQ234" s="41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</row>
    <row r="235" spans="1:64" s="32" customFormat="1" ht="30" x14ac:dyDescent="0.25">
      <c r="A235" s="6" t="s">
        <v>623</v>
      </c>
      <c r="B235" s="9" t="s">
        <v>624</v>
      </c>
      <c r="C235" s="12" t="s">
        <v>625</v>
      </c>
      <c r="D235" s="11" t="s">
        <v>42</v>
      </c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50"/>
      <c r="AO235" s="49"/>
      <c r="AP235" s="60">
        <v>12</v>
      </c>
      <c r="AQ235" s="41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</row>
    <row r="236" spans="1:64" s="32" customFormat="1" ht="30" x14ac:dyDescent="0.25">
      <c r="A236" s="6" t="s">
        <v>626</v>
      </c>
      <c r="B236" s="9" t="s">
        <v>627</v>
      </c>
      <c r="C236" s="12" t="s">
        <v>628</v>
      </c>
      <c r="D236" s="11" t="s">
        <v>42</v>
      </c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50"/>
      <c r="AO236" s="49"/>
      <c r="AP236" s="60">
        <v>100</v>
      </c>
      <c r="AQ236" s="41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</row>
    <row r="237" spans="1:64" s="32" customFormat="1" x14ac:dyDescent="0.25">
      <c r="A237" s="6"/>
      <c r="B237" s="6" t="s">
        <v>629</v>
      </c>
      <c r="C237" s="7" t="s">
        <v>630</v>
      </c>
      <c r="D237" s="11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50"/>
      <c r="AO237" s="49"/>
      <c r="AP237" s="59"/>
      <c r="AQ237" s="41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</row>
    <row r="238" spans="1:64" s="32" customFormat="1" ht="30" x14ac:dyDescent="0.25">
      <c r="A238" s="6" t="s">
        <v>631</v>
      </c>
      <c r="B238" s="9" t="s">
        <v>632</v>
      </c>
      <c r="C238" s="12" t="s">
        <v>633</v>
      </c>
      <c r="D238" s="11" t="s">
        <v>209</v>
      </c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50"/>
      <c r="AO238" s="49"/>
      <c r="AP238" s="60">
        <f>30+7</f>
        <v>37</v>
      </c>
      <c r="AQ238" s="41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</row>
    <row r="239" spans="1:64" s="32" customFormat="1" ht="30" x14ac:dyDescent="0.25">
      <c r="A239" s="6" t="s">
        <v>634</v>
      </c>
      <c r="B239" s="9" t="s">
        <v>635</v>
      </c>
      <c r="C239" s="12" t="s">
        <v>636</v>
      </c>
      <c r="D239" s="11" t="s">
        <v>209</v>
      </c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50"/>
      <c r="AO239" s="49"/>
      <c r="AP239" s="60">
        <v>107</v>
      </c>
      <c r="AQ239" s="41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</row>
    <row r="240" spans="1:64" s="32" customFormat="1" ht="30" x14ac:dyDescent="0.25">
      <c r="A240" s="6" t="s">
        <v>637</v>
      </c>
      <c r="B240" s="9" t="s">
        <v>638</v>
      </c>
      <c r="C240" s="12" t="s">
        <v>639</v>
      </c>
      <c r="D240" s="11" t="s">
        <v>209</v>
      </c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50"/>
      <c r="AO240" s="49"/>
      <c r="AP240" s="60">
        <v>8</v>
      </c>
      <c r="AQ240" s="41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</row>
    <row r="241" spans="1:64" s="32" customFormat="1" ht="30" x14ac:dyDescent="0.25">
      <c r="A241" s="6" t="s">
        <v>26</v>
      </c>
      <c r="B241" s="9" t="s">
        <v>640</v>
      </c>
      <c r="C241" s="12" t="s">
        <v>641</v>
      </c>
      <c r="D241" s="11" t="s">
        <v>209</v>
      </c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50"/>
      <c r="AO241" s="49"/>
      <c r="AP241" s="60">
        <v>8</v>
      </c>
      <c r="AQ241" s="41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</row>
    <row r="242" spans="1:64" s="32" customFormat="1" ht="30" x14ac:dyDescent="0.25">
      <c r="A242" s="6" t="s">
        <v>642</v>
      </c>
      <c r="B242" s="9" t="s">
        <v>643</v>
      </c>
      <c r="C242" s="12" t="s">
        <v>644</v>
      </c>
      <c r="D242" s="11" t="s">
        <v>209</v>
      </c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50"/>
      <c r="AO242" s="49"/>
      <c r="AP242" s="60">
        <v>27</v>
      </c>
      <c r="AQ242" s="41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</row>
    <row r="243" spans="1:64" s="32" customFormat="1" ht="30" x14ac:dyDescent="0.25">
      <c r="A243" s="6" t="s">
        <v>645</v>
      </c>
      <c r="B243" s="9" t="s">
        <v>646</v>
      </c>
      <c r="C243" s="12" t="s">
        <v>647</v>
      </c>
      <c r="D243" s="11" t="s">
        <v>209</v>
      </c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50"/>
      <c r="AO243" s="49"/>
      <c r="AP243" s="60">
        <v>5</v>
      </c>
      <c r="AQ243" s="41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</row>
    <row r="244" spans="1:64" s="32" customFormat="1" ht="30" x14ac:dyDescent="0.25">
      <c r="A244" s="6" t="s">
        <v>648</v>
      </c>
      <c r="B244" s="9" t="s">
        <v>649</v>
      </c>
      <c r="C244" s="12" t="s">
        <v>650</v>
      </c>
      <c r="D244" s="11" t="s">
        <v>209</v>
      </c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50"/>
      <c r="AO244" s="49"/>
      <c r="AP244" s="60">
        <v>1</v>
      </c>
      <c r="AQ244" s="41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</row>
    <row r="245" spans="1:64" s="32" customFormat="1" ht="30" x14ac:dyDescent="0.25">
      <c r="A245" s="6" t="s">
        <v>26</v>
      </c>
      <c r="B245" s="9" t="s">
        <v>651</v>
      </c>
      <c r="C245" s="12" t="s">
        <v>652</v>
      </c>
      <c r="D245" s="11" t="s">
        <v>209</v>
      </c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50"/>
      <c r="AO245" s="49"/>
      <c r="AP245" s="60">
        <v>2</v>
      </c>
      <c r="AQ245" s="41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</row>
    <row r="246" spans="1:64" s="32" customFormat="1" ht="30" x14ac:dyDescent="0.25">
      <c r="A246" s="6" t="s">
        <v>26</v>
      </c>
      <c r="B246" s="9" t="s">
        <v>653</v>
      </c>
      <c r="C246" s="12" t="s">
        <v>654</v>
      </c>
      <c r="D246" s="11" t="s">
        <v>209</v>
      </c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50"/>
      <c r="AO246" s="49"/>
      <c r="AP246" s="60">
        <v>68</v>
      </c>
      <c r="AQ246" s="41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</row>
    <row r="247" spans="1:64" s="32" customFormat="1" ht="30" x14ac:dyDescent="0.25">
      <c r="A247" s="6" t="s">
        <v>655</v>
      </c>
      <c r="B247" s="9" t="s">
        <v>656</v>
      </c>
      <c r="C247" s="12" t="s">
        <v>657</v>
      </c>
      <c r="D247" s="11" t="s">
        <v>209</v>
      </c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50"/>
      <c r="AO247" s="49"/>
      <c r="AP247" s="60">
        <v>27</v>
      </c>
      <c r="AQ247" s="41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</row>
    <row r="248" spans="1:64" s="32" customFormat="1" ht="30" x14ac:dyDescent="0.25">
      <c r="A248" s="6" t="s">
        <v>658</v>
      </c>
      <c r="B248" s="9" t="s">
        <v>659</v>
      </c>
      <c r="C248" s="12" t="s">
        <v>660</v>
      </c>
      <c r="D248" s="11" t="s">
        <v>209</v>
      </c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50"/>
      <c r="AO248" s="49"/>
      <c r="AP248" s="60">
        <v>19</v>
      </c>
      <c r="AQ248" s="41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</row>
    <row r="249" spans="1:64" s="32" customFormat="1" x14ac:dyDescent="0.25">
      <c r="A249" s="6"/>
      <c r="B249" s="6" t="s">
        <v>661</v>
      </c>
      <c r="C249" s="7" t="s">
        <v>662</v>
      </c>
      <c r="D249" s="6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50"/>
      <c r="AO249" s="49"/>
      <c r="AP249" s="63"/>
      <c r="AQ249" s="41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</row>
    <row r="250" spans="1:64" s="32" customFormat="1" ht="30" x14ac:dyDescent="0.25">
      <c r="A250" s="6" t="s">
        <v>663</v>
      </c>
      <c r="B250" s="9" t="s">
        <v>664</v>
      </c>
      <c r="C250" s="12" t="s">
        <v>665</v>
      </c>
      <c r="D250" s="11" t="s">
        <v>209</v>
      </c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50"/>
      <c r="AO250" s="49"/>
      <c r="AP250" s="59">
        <v>46</v>
      </c>
      <c r="AQ250" s="41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</row>
    <row r="251" spans="1:64" s="32" customFormat="1" ht="30" x14ac:dyDescent="0.25">
      <c r="A251" s="6" t="s">
        <v>524</v>
      </c>
      <c r="B251" s="9" t="s">
        <v>666</v>
      </c>
      <c r="C251" s="12" t="s">
        <v>667</v>
      </c>
      <c r="D251" s="11" t="s">
        <v>209</v>
      </c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50"/>
      <c r="AO251" s="49"/>
      <c r="AP251" s="59">
        <f>5+6+3+2+1</f>
        <v>17</v>
      </c>
      <c r="AQ251" s="41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</row>
    <row r="252" spans="1:64" s="32" customFormat="1" ht="45" x14ac:dyDescent="0.25">
      <c r="A252" s="6" t="s">
        <v>668</v>
      </c>
      <c r="B252" s="9" t="s">
        <v>669</v>
      </c>
      <c r="C252" s="10" t="s">
        <v>670</v>
      </c>
      <c r="D252" s="11" t="s">
        <v>209</v>
      </c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50"/>
      <c r="AO252" s="49"/>
      <c r="AP252" s="59">
        <v>18</v>
      </c>
      <c r="AQ252" s="41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</row>
    <row r="253" spans="1:64" s="32" customFormat="1" ht="45" x14ac:dyDescent="0.25">
      <c r="A253" s="6" t="s">
        <v>671</v>
      </c>
      <c r="B253" s="9" t="s">
        <v>672</v>
      </c>
      <c r="C253" s="12" t="s">
        <v>673</v>
      </c>
      <c r="D253" s="11" t="s">
        <v>209</v>
      </c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50"/>
      <c r="AO253" s="49"/>
      <c r="AP253" s="59">
        <v>7</v>
      </c>
      <c r="AQ253" s="41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</row>
    <row r="254" spans="1:64" s="32" customFormat="1" ht="60" x14ac:dyDescent="0.25">
      <c r="A254" s="6" t="s">
        <v>674</v>
      </c>
      <c r="B254" s="9" t="s">
        <v>675</v>
      </c>
      <c r="C254" s="12" t="s">
        <v>676</v>
      </c>
      <c r="D254" s="11" t="s">
        <v>209</v>
      </c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50"/>
      <c r="AO254" s="49"/>
      <c r="AP254" s="59">
        <v>3</v>
      </c>
      <c r="AQ254" s="41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</row>
    <row r="255" spans="1:64" s="32" customFormat="1" ht="60" x14ac:dyDescent="0.25">
      <c r="A255" s="6" t="s">
        <v>677</v>
      </c>
      <c r="B255" s="9" t="s">
        <v>678</v>
      </c>
      <c r="C255" s="12" t="s">
        <v>679</v>
      </c>
      <c r="D255" s="11" t="s">
        <v>209</v>
      </c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50"/>
      <c r="AO255" s="49"/>
      <c r="AP255" s="59">
        <v>71</v>
      </c>
      <c r="AQ255" s="41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</row>
    <row r="256" spans="1:64" s="32" customFormat="1" ht="60" x14ac:dyDescent="0.25">
      <c r="A256" s="6" t="s">
        <v>680</v>
      </c>
      <c r="B256" s="9" t="s">
        <v>681</v>
      </c>
      <c r="C256" s="12" t="s">
        <v>682</v>
      </c>
      <c r="D256" s="11" t="s">
        <v>209</v>
      </c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50"/>
      <c r="AO256" s="49"/>
      <c r="AP256" s="59">
        <f>4+55+33</f>
        <v>92</v>
      </c>
      <c r="AQ256" s="41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</row>
    <row r="257" spans="1:64" s="32" customFormat="1" x14ac:dyDescent="0.25">
      <c r="A257" s="6"/>
      <c r="B257" s="6" t="s">
        <v>683</v>
      </c>
      <c r="C257" s="7" t="s">
        <v>684</v>
      </c>
      <c r="D257" s="11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50"/>
      <c r="AO257" s="49"/>
      <c r="AP257" s="59"/>
      <c r="AQ257" s="41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</row>
    <row r="258" spans="1:64" s="32" customFormat="1" ht="30" x14ac:dyDescent="0.25">
      <c r="A258" s="6" t="s">
        <v>685</v>
      </c>
      <c r="B258" s="9" t="s">
        <v>686</v>
      </c>
      <c r="C258" s="12" t="s">
        <v>687</v>
      </c>
      <c r="D258" s="11" t="s">
        <v>42</v>
      </c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50"/>
      <c r="AO258" s="49"/>
      <c r="AP258" s="60">
        <v>390.6</v>
      </c>
      <c r="AQ258" s="41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</row>
    <row r="259" spans="1:64" s="32" customFormat="1" ht="30" x14ac:dyDescent="0.25">
      <c r="A259" s="6" t="s">
        <v>688</v>
      </c>
      <c r="B259" s="9" t="s">
        <v>689</v>
      </c>
      <c r="C259" s="12" t="s">
        <v>690</v>
      </c>
      <c r="D259" s="11" t="s">
        <v>42</v>
      </c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50"/>
      <c r="AO259" s="49"/>
      <c r="AP259" s="60">
        <v>200</v>
      </c>
      <c r="AQ259" s="41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</row>
    <row r="260" spans="1:64" s="32" customFormat="1" ht="30" x14ac:dyDescent="0.25">
      <c r="A260" s="6" t="s">
        <v>26</v>
      </c>
      <c r="B260" s="9" t="s">
        <v>691</v>
      </c>
      <c r="C260" s="12" t="s">
        <v>692</v>
      </c>
      <c r="D260" s="11" t="s">
        <v>209</v>
      </c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50"/>
      <c r="AO260" s="49"/>
      <c r="AP260" s="60">
        <v>3</v>
      </c>
      <c r="AQ260" s="41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</row>
    <row r="261" spans="1:64" s="32" customFormat="1" ht="30" x14ac:dyDescent="0.25">
      <c r="A261" s="6" t="s">
        <v>26</v>
      </c>
      <c r="B261" s="9" t="s">
        <v>693</v>
      </c>
      <c r="C261" s="12" t="s">
        <v>694</v>
      </c>
      <c r="D261" s="11" t="s">
        <v>209</v>
      </c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50"/>
      <c r="AO261" s="49"/>
      <c r="AP261" s="60">
        <v>5</v>
      </c>
      <c r="AQ261" s="41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</row>
    <row r="262" spans="1:64" s="32" customFormat="1" ht="30" x14ac:dyDescent="0.25">
      <c r="A262" s="6" t="s">
        <v>695</v>
      </c>
      <c r="B262" s="9" t="s">
        <v>696</v>
      </c>
      <c r="C262" s="12" t="s">
        <v>697</v>
      </c>
      <c r="D262" s="11" t="s">
        <v>209</v>
      </c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50"/>
      <c r="AO262" s="49"/>
      <c r="AP262" s="60">
        <v>25</v>
      </c>
      <c r="AQ262" s="41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</row>
    <row r="263" spans="1:64" s="32" customFormat="1" ht="30" x14ac:dyDescent="0.25">
      <c r="A263" s="6" t="s">
        <v>698</v>
      </c>
      <c r="B263" s="9" t="s">
        <v>699</v>
      </c>
      <c r="C263" s="12" t="s">
        <v>700</v>
      </c>
      <c r="D263" s="11" t="s">
        <v>42</v>
      </c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50"/>
      <c r="AO263" s="49"/>
      <c r="AP263" s="60">
        <v>27</v>
      </c>
      <c r="AQ263" s="41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</row>
    <row r="264" spans="1:64" s="32" customFormat="1" ht="30" x14ac:dyDescent="0.25">
      <c r="A264" s="6" t="s">
        <v>26</v>
      </c>
      <c r="B264" s="9" t="s">
        <v>701</v>
      </c>
      <c r="C264" s="12" t="s">
        <v>702</v>
      </c>
      <c r="D264" s="11" t="s">
        <v>209</v>
      </c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50"/>
      <c r="AO264" s="49"/>
      <c r="AP264" s="60">
        <v>1</v>
      </c>
      <c r="AQ264" s="41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</row>
    <row r="265" spans="1:64" s="32" customFormat="1" ht="30" x14ac:dyDescent="0.25">
      <c r="A265" s="6" t="s">
        <v>26</v>
      </c>
      <c r="B265" s="9" t="s">
        <v>703</v>
      </c>
      <c r="C265" s="12" t="s">
        <v>704</v>
      </c>
      <c r="D265" s="11" t="s">
        <v>209</v>
      </c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50"/>
      <c r="AO265" s="49"/>
      <c r="AP265" s="60">
        <v>1</v>
      </c>
      <c r="AQ265" s="41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</row>
    <row r="266" spans="1:64" s="32" customFormat="1" ht="30" x14ac:dyDescent="0.25">
      <c r="A266" s="6" t="s">
        <v>26</v>
      </c>
      <c r="B266" s="9" t="s">
        <v>705</v>
      </c>
      <c r="C266" s="12" t="s">
        <v>706</v>
      </c>
      <c r="D266" s="11" t="s">
        <v>209</v>
      </c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50"/>
      <c r="AO266" s="49"/>
      <c r="AP266" s="60">
        <v>1</v>
      </c>
      <c r="AQ266" s="41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</row>
    <row r="267" spans="1:64" s="32" customFormat="1" ht="30" x14ac:dyDescent="0.25">
      <c r="A267" s="6" t="s">
        <v>707</v>
      </c>
      <c r="B267" s="9" t="s">
        <v>708</v>
      </c>
      <c r="C267" s="12" t="s">
        <v>709</v>
      </c>
      <c r="D267" s="11" t="s">
        <v>209</v>
      </c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50"/>
      <c r="AO267" s="49"/>
      <c r="AP267" s="60">
        <v>300</v>
      </c>
      <c r="AQ267" s="41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</row>
    <row r="268" spans="1:64" s="32" customFormat="1" ht="30" x14ac:dyDescent="0.25">
      <c r="A268" s="6" t="s">
        <v>710</v>
      </c>
      <c r="B268" s="9" t="s">
        <v>711</v>
      </c>
      <c r="C268" s="12" t="s">
        <v>712</v>
      </c>
      <c r="D268" s="11" t="s">
        <v>209</v>
      </c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50"/>
      <c r="AO268" s="49"/>
      <c r="AP268" s="60">
        <v>25</v>
      </c>
      <c r="AQ268" s="41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</row>
    <row r="269" spans="1:64" s="32" customFormat="1" ht="30" x14ac:dyDescent="0.25">
      <c r="A269" s="6" t="s">
        <v>26</v>
      </c>
      <c r="B269" s="9" t="s">
        <v>713</v>
      </c>
      <c r="C269" s="12" t="s">
        <v>714</v>
      </c>
      <c r="D269" s="11" t="s">
        <v>209</v>
      </c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50"/>
      <c r="AO269" s="49"/>
      <c r="AP269" s="60">
        <v>20</v>
      </c>
      <c r="AQ269" s="41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</row>
    <row r="270" spans="1:64" s="32" customFormat="1" ht="30" x14ac:dyDescent="0.25">
      <c r="A270" s="6" t="s">
        <v>26</v>
      </c>
      <c r="B270" s="9" t="s">
        <v>715</v>
      </c>
      <c r="C270" s="12" t="s">
        <v>716</v>
      </c>
      <c r="D270" s="11" t="s">
        <v>209</v>
      </c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50"/>
      <c r="AO270" s="49"/>
      <c r="AP270" s="60">
        <v>18</v>
      </c>
      <c r="AQ270" s="41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</row>
    <row r="271" spans="1:64" s="32" customFormat="1" ht="30" x14ac:dyDescent="0.25">
      <c r="A271" s="6" t="s">
        <v>717</v>
      </c>
      <c r="B271" s="9" t="s">
        <v>718</v>
      </c>
      <c r="C271" s="12" t="s">
        <v>719</v>
      </c>
      <c r="D271" s="11" t="s">
        <v>209</v>
      </c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50"/>
      <c r="AO271" s="49"/>
      <c r="AP271" s="60">
        <v>1</v>
      </c>
      <c r="AQ271" s="41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</row>
    <row r="272" spans="1:64" s="32" customFormat="1" ht="30" x14ac:dyDescent="0.25">
      <c r="A272" s="6" t="s">
        <v>720</v>
      </c>
      <c r="B272" s="9" t="s">
        <v>721</v>
      </c>
      <c r="C272" s="12" t="s">
        <v>722</v>
      </c>
      <c r="D272" s="11" t="s">
        <v>209</v>
      </c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50"/>
      <c r="AO272" s="49"/>
      <c r="AP272" s="60">
        <v>9</v>
      </c>
      <c r="AQ272" s="41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</row>
    <row r="273" spans="1:64" s="32" customFormat="1" ht="30" x14ac:dyDescent="0.25">
      <c r="A273" s="6" t="s">
        <v>723</v>
      </c>
      <c r="B273" s="9" t="s">
        <v>724</v>
      </c>
      <c r="C273" s="12" t="s">
        <v>725</v>
      </c>
      <c r="D273" s="11" t="s">
        <v>209</v>
      </c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50"/>
      <c r="AO273" s="49"/>
      <c r="AP273" s="60">
        <v>150</v>
      </c>
      <c r="AQ273" s="41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</row>
    <row r="274" spans="1:64" s="32" customFormat="1" ht="30" x14ac:dyDescent="0.25">
      <c r="A274" s="6" t="s">
        <v>726</v>
      </c>
      <c r="B274" s="9" t="s">
        <v>727</v>
      </c>
      <c r="C274" s="12" t="s">
        <v>728</v>
      </c>
      <c r="D274" s="11" t="s">
        <v>209</v>
      </c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50"/>
      <c r="AO274" s="49"/>
      <c r="AP274" s="60">
        <v>100</v>
      </c>
      <c r="AQ274" s="41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</row>
    <row r="275" spans="1:64" s="32" customFormat="1" x14ac:dyDescent="0.25">
      <c r="A275" s="6"/>
      <c r="B275" s="6" t="s">
        <v>729</v>
      </c>
      <c r="C275" s="7" t="s">
        <v>730</v>
      </c>
      <c r="D275" s="11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50"/>
      <c r="AO275" s="49"/>
      <c r="AP275" s="59"/>
      <c r="AQ275" s="41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</row>
    <row r="276" spans="1:64" s="32" customFormat="1" ht="45" x14ac:dyDescent="0.25">
      <c r="A276" s="6" t="s">
        <v>731</v>
      </c>
      <c r="B276" s="9" t="s">
        <v>732</v>
      </c>
      <c r="C276" s="12" t="s">
        <v>733</v>
      </c>
      <c r="D276" s="11" t="s">
        <v>209</v>
      </c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50"/>
      <c r="AO276" s="49"/>
      <c r="AP276" s="60">
        <v>54</v>
      </c>
      <c r="AQ276" s="41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</row>
    <row r="277" spans="1:64" s="32" customFormat="1" ht="45" x14ac:dyDescent="0.25">
      <c r="A277" s="6" t="s">
        <v>734</v>
      </c>
      <c r="B277" s="9" t="s">
        <v>735</v>
      </c>
      <c r="C277" s="12" t="s">
        <v>736</v>
      </c>
      <c r="D277" s="11" t="s">
        <v>209</v>
      </c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50"/>
      <c r="AO277" s="49"/>
      <c r="AP277" s="60">
        <v>10</v>
      </c>
      <c r="AQ277" s="41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</row>
    <row r="278" spans="1:64" s="32" customFormat="1" ht="45" x14ac:dyDescent="0.25">
      <c r="A278" s="6" t="s">
        <v>737</v>
      </c>
      <c r="B278" s="9" t="s">
        <v>738</v>
      </c>
      <c r="C278" s="12" t="s">
        <v>739</v>
      </c>
      <c r="D278" s="11" t="s">
        <v>209</v>
      </c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50"/>
      <c r="AO278" s="49"/>
      <c r="AP278" s="60">
        <v>6</v>
      </c>
      <c r="AQ278" s="41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</row>
    <row r="279" spans="1:64" s="32" customFormat="1" ht="45" x14ac:dyDescent="0.25">
      <c r="A279" s="6" t="s">
        <v>740</v>
      </c>
      <c r="B279" s="9" t="s">
        <v>741</v>
      </c>
      <c r="C279" s="12" t="s">
        <v>742</v>
      </c>
      <c r="D279" s="11" t="s">
        <v>209</v>
      </c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50"/>
      <c r="AO279" s="49"/>
      <c r="AP279" s="60">
        <v>2</v>
      </c>
      <c r="AQ279" s="41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</row>
    <row r="280" spans="1:64" s="32" customFormat="1" ht="45" x14ac:dyDescent="0.25">
      <c r="A280" s="6" t="s">
        <v>743</v>
      </c>
      <c r="B280" s="9" t="s">
        <v>744</v>
      </c>
      <c r="C280" s="12" t="s">
        <v>745</v>
      </c>
      <c r="D280" s="11" t="s">
        <v>209</v>
      </c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50"/>
      <c r="AO280" s="49"/>
      <c r="AP280" s="60">
        <v>2</v>
      </c>
      <c r="AQ280" s="41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</row>
    <row r="281" spans="1:64" s="32" customFormat="1" ht="30" x14ac:dyDescent="0.25">
      <c r="A281" s="6" t="s">
        <v>26</v>
      </c>
      <c r="B281" s="9" t="s">
        <v>746</v>
      </c>
      <c r="C281" s="30" t="s">
        <v>747</v>
      </c>
      <c r="D281" s="11" t="s">
        <v>209</v>
      </c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50"/>
      <c r="AO281" s="49"/>
      <c r="AP281" s="59">
        <v>3</v>
      </c>
      <c r="AQ281" s="41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</row>
    <row r="282" spans="1:64" s="32" customFormat="1" ht="30" x14ac:dyDescent="0.25">
      <c r="A282" s="6" t="s">
        <v>26</v>
      </c>
      <c r="B282" s="9" t="s">
        <v>748</v>
      </c>
      <c r="C282" s="30" t="s">
        <v>749</v>
      </c>
      <c r="D282" s="11" t="s">
        <v>209</v>
      </c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50"/>
      <c r="AO282" s="49"/>
      <c r="AP282" s="59">
        <v>3</v>
      </c>
      <c r="AQ282" s="41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</row>
    <row r="283" spans="1:64" s="32" customFormat="1" ht="30" x14ac:dyDescent="0.25">
      <c r="A283" s="6" t="s">
        <v>750</v>
      </c>
      <c r="B283" s="9" t="s">
        <v>751</v>
      </c>
      <c r="C283" s="12" t="s">
        <v>752</v>
      </c>
      <c r="D283" s="11" t="s">
        <v>209</v>
      </c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50"/>
      <c r="AO283" s="49"/>
      <c r="AP283" s="59">
        <v>3</v>
      </c>
      <c r="AQ283" s="41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</row>
    <row r="284" spans="1:64" s="32" customFormat="1" ht="30" x14ac:dyDescent="0.25">
      <c r="A284" s="6" t="s">
        <v>753</v>
      </c>
      <c r="B284" s="9" t="s">
        <v>754</v>
      </c>
      <c r="C284" s="12" t="s">
        <v>755</v>
      </c>
      <c r="D284" s="11" t="s">
        <v>209</v>
      </c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50"/>
      <c r="AO284" s="49"/>
      <c r="AP284" s="60">
        <v>3</v>
      </c>
      <c r="AQ284" s="41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</row>
    <row r="285" spans="1:64" s="32" customFormat="1" x14ac:dyDescent="0.25">
      <c r="A285" s="6"/>
      <c r="B285" s="6" t="s">
        <v>756</v>
      </c>
      <c r="C285" s="7" t="s">
        <v>757</v>
      </c>
      <c r="D285" s="11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50"/>
      <c r="AO285" s="49"/>
      <c r="AP285" s="59"/>
      <c r="AQ285" s="41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</row>
    <row r="286" spans="1:64" s="32" customFormat="1" ht="45" x14ac:dyDescent="0.25">
      <c r="A286" s="6" t="s">
        <v>758</v>
      </c>
      <c r="B286" s="9" t="s">
        <v>759</v>
      </c>
      <c r="C286" s="12" t="s">
        <v>760</v>
      </c>
      <c r="D286" s="11" t="s">
        <v>209</v>
      </c>
      <c r="E286" s="61">
        <v>3</v>
      </c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50"/>
      <c r="AO286" s="49"/>
      <c r="AP286" s="60">
        <v>3</v>
      </c>
      <c r="AQ286" s="41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</row>
    <row r="287" spans="1:64" s="32" customFormat="1" ht="60" x14ac:dyDescent="0.25">
      <c r="A287" s="6" t="s">
        <v>761</v>
      </c>
      <c r="B287" s="9" t="s">
        <v>762</v>
      </c>
      <c r="C287" s="40" t="s">
        <v>763</v>
      </c>
      <c r="D287" s="11" t="s">
        <v>209</v>
      </c>
      <c r="E287" s="61">
        <v>1</v>
      </c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50"/>
      <c r="AO287" s="49"/>
      <c r="AP287" s="60">
        <v>1</v>
      </c>
      <c r="AQ287" s="41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</row>
    <row r="288" spans="1:64" s="32" customFormat="1" ht="45" x14ac:dyDescent="0.25">
      <c r="A288" s="6" t="s">
        <v>764</v>
      </c>
      <c r="B288" s="9" t="s">
        <v>765</v>
      </c>
      <c r="C288" s="13" t="s">
        <v>766</v>
      </c>
      <c r="D288" s="11" t="s">
        <v>209</v>
      </c>
      <c r="E288" s="61">
        <v>68</v>
      </c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50"/>
      <c r="AO288" s="49"/>
      <c r="AP288" s="60">
        <v>68</v>
      </c>
      <c r="AQ288" s="41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</row>
    <row r="289" spans="1:64" s="32" customFormat="1" ht="75" x14ac:dyDescent="0.25">
      <c r="A289" s="6" t="s">
        <v>768</v>
      </c>
      <c r="B289" s="9" t="s">
        <v>767</v>
      </c>
      <c r="C289" s="40" t="s">
        <v>770</v>
      </c>
      <c r="D289" s="11" t="s">
        <v>209</v>
      </c>
      <c r="E289" s="61">
        <v>2</v>
      </c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50"/>
      <c r="AO289" s="49"/>
      <c r="AP289" s="60">
        <v>2</v>
      </c>
      <c r="AQ289" s="41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</row>
    <row r="290" spans="1:64" s="32" customFormat="1" ht="75" x14ac:dyDescent="0.25">
      <c r="A290" s="6" t="s">
        <v>771</v>
      </c>
      <c r="B290" s="9" t="s">
        <v>769</v>
      </c>
      <c r="C290" s="40" t="s">
        <v>773</v>
      </c>
      <c r="D290" s="11" t="s">
        <v>209</v>
      </c>
      <c r="E290" s="61">
        <v>17</v>
      </c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50"/>
      <c r="AO290" s="49"/>
      <c r="AP290" s="60">
        <v>17</v>
      </c>
      <c r="AQ290" s="41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</row>
    <row r="291" spans="1:64" s="32" customFormat="1" ht="60" x14ac:dyDescent="0.25">
      <c r="A291" s="6" t="s">
        <v>1173</v>
      </c>
      <c r="B291" s="9" t="s">
        <v>772</v>
      </c>
      <c r="C291" s="40" t="s">
        <v>1174</v>
      </c>
      <c r="D291" s="11" t="s">
        <v>209</v>
      </c>
      <c r="E291" s="61">
        <v>1</v>
      </c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50"/>
      <c r="AO291" s="49"/>
      <c r="AP291" s="60">
        <v>1</v>
      </c>
      <c r="AQ291" s="41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</row>
    <row r="292" spans="1:64" s="32" customFormat="1" ht="45" x14ac:dyDescent="0.25">
      <c r="A292" s="6" t="s">
        <v>774</v>
      </c>
      <c r="B292" s="9" t="s">
        <v>775</v>
      </c>
      <c r="C292" s="40" t="s">
        <v>776</v>
      </c>
      <c r="D292" s="11" t="s">
        <v>209</v>
      </c>
      <c r="E292" s="61">
        <v>3</v>
      </c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50"/>
      <c r="AO292" s="49"/>
      <c r="AP292" s="60">
        <v>3</v>
      </c>
      <c r="AQ292" s="41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</row>
    <row r="293" spans="1:64" s="32" customFormat="1" ht="30" x14ac:dyDescent="0.25">
      <c r="A293" s="6" t="s">
        <v>777</v>
      </c>
      <c r="B293" s="9" t="s">
        <v>778</v>
      </c>
      <c r="C293" s="13" t="s">
        <v>779</v>
      </c>
      <c r="D293" s="11" t="s">
        <v>209</v>
      </c>
      <c r="E293" s="61">
        <v>14</v>
      </c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50"/>
      <c r="AO293" s="49"/>
      <c r="AP293" s="60">
        <v>14</v>
      </c>
      <c r="AQ293" s="41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</row>
    <row r="294" spans="1:64" s="32" customFormat="1" ht="30" x14ac:dyDescent="0.25">
      <c r="A294" s="6" t="s">
        <v>26</v>
      </c>
      <c r="B294" s="9" t="s">
        <v>1154</v>
      </c>
      <c r="C294" s="13" t="s">
        <v>781</v>
      </c>
      <c r="D294" s="11" t="s">
        <v>209</v>
      </c>
      <c r="E294" s="61">
        <v>8</v>
      </c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50"/>
      <c r="AO294" s="49"/>
      <c r="AP294" s="60">
        <v>8</v>
      </c>
      <c r="AQ294" s="41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</row>
    <row r="295" spans="1:64" s="32" customFormat="1" ht="30" x14ac:dyDescent="0.25">
      <c r="A295" s="6" t="s">
        <v>1175</v>
      </c>
      <c r="B295" s="9" t="s">
        <v>780</v>
      </c>
      <c r="C295" s="40" t="s">
        <v>782</v>
      </c>
      <c r="D295" s="11" t="s">
        <v>209</v>
      </c>
      <c r="E295" s="61">
        <v>8</v>
      </c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50"/>
      <c r="AO295" s="49"/>
      <c r="AP295" s="60">
        <v>8</v>
      </c>
      <c r="AQ295" s="41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</row>
    <row r="296" spans="1:64" s="32" customFormat="1" ht="30" x14ac:dyDescent="0.25">
      <c r="A296" s="6" t="s">
        <v>783</v>
      </c>
      <c r="B296" s="9" t="s">
        <v>1176</v>
      </c>
      <c r="C296" s="40" t="s">
        <v>784</v>
      </c>
      <c r="D296" s="11" t="s">
        <v>209</v>
      </c>
      <c r="E296" s="61">
        <v>19</v>
      </c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50"/>
      <c r="AO296" s="49"/>
      <c r="AP296" s="60">
        <v>19</v>
      </c>
      <c r="AQ296" s="41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</row>
    <row r="297" spans="1:64" s="32" customFormat="1" ht="30" x14ac:dyDescent="0.25">
      <c r="A297" s="6"/>
      <c r="B297" s="6" t="s">
        <v>785</v>
      </c>
      <c r="C297" s="7" t="s">
        <v>786</v>
      </c>
      <c r="D297" s="11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50"/>
      <c r="AO297" s="49"/>
      <c r="AP297" s="60"/>
      <c r="AQ297" s="41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</row>
    <row r="298" spans="1:64" s="32" customFormat="1" ht="30" x14ac:dyDescent="0.25">
      <c r="A298" s="6" t="s">
        <v>26</v>
      </c>
      <c r="B298" s="9" t="s">
        <v>787</v>
      </c>
      <c r="C298" s="12" t="s">
        <v>788</v>
      </c>
      <c r="D298" s="11" t="s">
        <v>42</v>
      </c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50"/>
      <c r="AO298" s="49"/>
      <c r="AP298" s="60">
        <v>8</v>
      </c>
      <c r="AQ298" s="41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</row>
    <row r="299" spans="1:64" s="32" customFormat="1" ht="30" x14ac:dyDescent="0.25">
      <c r="A299" s="6" t="s">
        <v>26</v>
      </c>
      <c r="B299" s="9" t="s">
        <v>789</v>
      </c>
      <c r="C299" s="12" t="s">
        <v>790</v>
      </c>
      <c r="D299" s="11" t="s">
        <v>42</v>
      </c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50"/>
      <c r="AO299" s="49"/>
      <c r="AP299" s="60">
        <v>8</v>
      </c>
      <c r="AQ299" s="41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</row>
    <row r="300" spans="1:64" s="32" customFormat="1" ht="30" x14ac:dyDescent="0.25">
      <c r="A300" s="6" t="s">
        <v>791</v>
      </c>
      <c r="B300" s="9" t="s">
        <v>792</v>
      </c>
      <c r="C300" s="10" t="s">
        <v>793</v>
      </c>
      <c r="D300" s="11" t="s">
        <v>209</v>
      </c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50"/>
      <c r="AO300" s="49"/>
      <c r="AP300" s="59">
        <v>1</v>
      </c>
      <c r="AQ300" s="41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</row>
    <row r="301" spans="1:64" s="32" customFormat="1" ht="45" x14ac:dyDescent="0.25">
      <c r="A301" s="28" t="s">
        <v>26</v>
      </c>
      <c r="B301" s="9" t="s">
        <v>794</v>
      </c>
      <c r="C301" s="15" t="s">
        <v>795</v>
      </c>
      <c r="D301" s="29" t="s">
        <v>209</v>
      </c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50"/>
      <c r="AO301" s="49"/>
      <c r="AP301" s="64">
        <v>1</v>
      </c>
      <c r="AQ301" s="41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</row>
    <row r="302" spans="1:64" s="32" customFormat="1" ht="30" x14ac:dyDescent="0.25">
      <c r="A302" s="26" t="s">
        <v>26</v>
      </c>
      <c r="B302" s="9" t="s">
        <v>796</v>
      </c>
      <c r="C302" s="13" t="s">
        <v>797</v>
      </c>
      <c r="D302" s="16" t="s">
        <v>209</v>
      </c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50"/>
      <c r="AO302" s="49"/>
      <c r="AP302" s="64">
        <v>1</v>
      </c>
      <c r="AQ302" s="41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</row>
    <row r="303" spans="1:64" s="32" customFormat="1" ht="30" x14ac:dyDescent="0.25">
      <c r="A303" s="26" t="s">
        <v>26</v>
      </c>
      <c r="B303" s="9" t="s">
        <v>798</v>
      </c>
      <c r="C303" s="10" t="s">
        <v>799</v>
      </c>
      <c r="D303" s="16" t="s">
        <v>209</v>
      </c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50"/>
      <c r="AO303" s="49"/>
      <c r="AP303" s="64">
        <v>1</v>
      </c>
      <c r="AQ303" s="41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</row>
    <row r="304" spans="1:64" s="32" customFormat="1" ht="30" x14ac:dyDescent="0.25">
      <c r="A304" s="26" t="s">
        <v>26</v>
      </c>
      <c r="B304" s="9" t="s">
        <v>800</v>
      </c>
      <c r="C304" s="13" t="s">
        <v>801</v>
      </c>
      <c r="D304" s="16" t="s">
        <v>209</v>
      </c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50"/>
      <c r="AO304" s="49"/>
      <c r="AP304" s="64">
        <v>4</v>
      </c>
      <c r="AQ304" s="41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</row>
    <row r="305" spans="1:64" s="32" customFormat="1" ht="45" x14ac:dyDescent="0.25">
      <c r="A305" s="6" t="s">
        <v>802</v>
      </c>
      <c r="B305" s="9" t="s">
        <v>803</v>
      </c>
      <c r="C305" s="12" t="s">
        <v>804</v>
      </c>
      <c r="D305" s="11" t="s">
        <v>209</v>
      </c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50"/>
      <c r="AO305" s="49"/>
      <c r="AP305" s="60">
        <v>4</v>
      </c>
      <c r="AQ305" s="41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</row>
    <row r="306" spans="1:64" s="32" customFormat="1" ht="30" x14ac:dyDescent="0.25">
      <c r="A306" s="6" t="s">
        <v>26</v>
      </c>
      <c r="B306" s="9" t="s">
        <v>805</v>
      </c>
      <c r="C306" s="10" t="s">
        <v>806</v>
      </c>
      <c r="D306" s="11" t="s">
        <v>209</v>
      </c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50"/>
      <c r="AO306" s="49"/>
      <c r="AP306" s="59">
        <v>6</v>
      </c>
      <c r="AQ306" s="41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</row>
    <row r="307" spans="1:64" s="32" customFormat="1" ht="30" x14ac:dyDescent="0.25">
      <c r="A307" s="6" t="s">
        <v>807</v>
      </c>
      <c r="B307" s="9" t="s">
        <v>808</v>
      </c>
      <c r="C307" s="27" t="s">
        <v>809</v>
      </c>
      <c r="D307" s="16" t="s">
        <v>209</v>
      </c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50"/>
      <c r="AO307" s="49"/>
      <c r="AP307" s="57">
        <v>1</v>
      </c>
      <c r="AQ307" s="41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</row>
    <row r="308" spans="1:64" s="32" customFormat="1" ht="30" x14ac:dyDescent="0.25">
      <c r="A308" s="6" t="s">
        <v>810</v>
      </c>
      <c r="B308" s="9" t="s">
        <v>811</v>
      </c>
      <c r="C308" s="12" t="s">
        <v>812</v>
      </c>
      <c r="D308" s="11" t="s">
        <v>209</v>
      </c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50"/>
      <c r="AO308" s="49"/>
      <c r="AP308" s="60">
        <v>1</v>
      </c>
      <c r="AQ308" s="41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</row>
    <row r="309" spans="1:64" s="32" customFormat="1" ht="30" x14ac:dyDescent="0.25">
      <c r="A309" s="6" t="s">
        <v>26</v>
      </c>
      <c r="B309" s="9" t="s">
        <v>813</v>
      </c>
      <c r="C309" s="12" t="s">
        <v>814</v>
      </c>
      <c r="D309" s="11" t="s">
        <v>209</v>
      </c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50"/>
      <c r="AO309" s="49"/>
      <c r="AP309" s="60">
        <v>7</v>
      </c>
      <c r="AQ309" s="41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</row>
    <row r="310" spans="1:64" s="32" customFormat="1" ht="30" x14ac:dyDescent="0.25">
      <c r="A310" s="6" t="s">
        <v>815</v>
      </c>
      <c r="B310" s="9" t="s">
        <v>816</v>
      </c>
      <c r="C310" s="12" t="s">
        <v>817</v>
      </c>
      <c r="D310" s="11" t="s">
        <v>209</v>
      </c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50"/>
      <c r="AO310" s="49"/>
      <c r="AP310" s="60">
        <v>72</v>
      </c>
      <c r="AQ310" s="41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</row>
    <row r="311" spans="1:64" s="32" customFormat="1" ht="30" x14ac:dyDescent="0.25">
      <c r="A311" s="6" t="s">
        <v>818</v>
      </c>
      <c r="B311" s="9" t="s">
        <v>819</v>
      </c>
      <c r="C311" s="12" t="s">
        <v>820</v>
      </c>
      <c r="D311" s="11" t="s">
        <v>209</v>
      </c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50"/>
      <c r="AO311" s="49"/>
      <c r="AP311" s="60">
        <v>250</v>
      </c>
      <c r="AQ311" s="41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</row>
    <row r="312" spans="1:64" s="32" customFormat="1" ht="30" x14ac:dyDescent="0.25">
      <c r="A312" s="6" t="s">
        <v>821</v>
      </c>
      <c r="B312" s="9" t="s">
        <v>822</v>
      </c>
      <c r="C312" s="12" t="s">
        <v>823</v>
      </c>
      <c r="D312" s="11" t="s">
        <v>209</v>
      </c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50"/>
      <c r="AO312" s="49"/>
      <c r="AP312" s="60">
        <v>1</v>
      </c>
      <c r="AQ312" s="41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</row>
    <row r="313" spans="1:64" s="32" customFormat="1" ht="30" x14ac:dyDescent="0.25">
      <c r="A313" s="6" t="s">
        <v>824</v>
      </c>
      <c r="B313" s="9" t="s">
        <v>825</v>
      </c>
      <c r="C313" s="12" t="s">
        <v>826</v>
      </c>
      <c r="D313" s="11" t="s">
        <v>209</v>
      </c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50"/>
      <c r="AO313" s="49"/>
      <c r="AP313" s="60">
        <v>12</v>
      </c>
      <c r="AQ313" s="41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</row>
    <row r="314" spans="1:64" s="32" customFormat="1" ht="30" x14ac:dyDescent="0.25">
      <c r="A314" s="6" t="s">
        <v>26</v>
      </c>
      <c r="B314" s="9" t="s">
        <v>827</v>
      </c>
      <c r="C314" s="12" t="s">
        <v>828</v>
      </c>
      <c r="D314" s="11" t="s">
        <v>209</v>
      </c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50"/>
      <c r="AO314" s="49"/>
      <c r="AP314" s="60">
        <v>28</v>
      </c>
      <c r="AQ314" s="41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</row>
    <row r="315" spans="1:64" s="32" customFormat="1" x14ac:dyDescent="0.25">
      <c r="A315" s="6"/>
      <c r="B315" s="6" t="s">
        <v>829</v>
      </c>
      <c r="C315" s="7" t="s">
        <v>830</v>
      </c>
      <c r="D315" s="6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50"/>
      <c r="AO315" s="49"/>
      <c r="AP315" s="63"/>
      <c r="AQ315" s="41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</row>
    <row r="316" spans="1:64" s="32" customFormat="1" ht="30" x14ac:dyDescent="0.25">
      <c r="A316" s="6" t="s">
        <v>26</v>
      </c>
      <c r="B316" s="9" t="s">
        <v>831</v>
      </c>
      <c r="C316" s="12" t="s">
        <v>832</v>
      </c>
      <c r="D316" s="11" t="s">
        <v>209</v>
      </c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50"/>
      <c r="AO316" s="49"/>
      <c r="AP316" s="60">
        <v>1</v>
      </c>
      <c r="AQ316" s="41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</row>
    <row r="317" spans="1:64" s="32" customFormat="1" ht="30" x14ac:dyDescent="0.25">
      <c r="A317" s="26" t="s">
        <v>26</v>
      </c>
      <c r="B317" s="9" t="s">
        <v>833</v>
      </c>
      <c r="C317" s="27" t="s">
        <v>834</v>
      </c>
      <c r="D317" s="16" t="s">
        <v>209</v>
      </c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50"/>
      <c r="AO317" s="49"/>
      <c r="AP317" s="57">
        <v>1</v>
      </c>
      <c r="AQ317" s="41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</row>
    <row r="318" spans="1:64" s="32" customFormat="1" ht="30" x14ac:dyDescent="0.25">
      <c r="A318" s="26" t="s">
        <v>26</v>
      </c>
      <c r="B318" s="9" t="s">
        <v>835</v>
      </c>
      <c r="C318" s="27" t="s">
        <v>836</v>
      </c>
      <c r="D318" s="16" t="s">
        <v>209</v>
      </c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50"/>
      <c r="AO318" s="49"/>
      <c r="AP318" s="64">
        <v>6</v>
      </c>
      <c r="AQ318" s="41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</row>
    <row r="319" spans="1:64" s="32" customFormat="1" ht="45" x14ac:dyDescent="0.25">
      <c r="A319" s="6" t="s">
        <v>837</v>
      </c>
      <c r="B319" s="9" t="s">
        <v>838</v>
      </c>
      <c r="C319" s="12" t="s">
        <v>839</v>
      </c>
      <c r="D319" s="11" t="s">
        <v>42</v>
      </c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50"/>
      <c r="AO319" s="49"/>
      <c r="AP319" s="60">
        <v>65</v>
      </c>
      <c r="AQ319" s="41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</row>
    <row r="320" spans="1:64" s="32" customFormat="1" ht="30" x14ac:dyDescent="0.25">
      <c r="A320" s="6" t="s">
        <v>840</v>
      </c>
      <c r="B320" s="9" t="s">
        <v>841</v>
      </c>
      <c r="C320" s="12" t="s">
        <v>842</v>
      </c>
      <c r="D320" s="11" t="s">
        <v>42</v>
      </c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50"/>
      <c r="AO320" s="49"/>
      <c r="AP320" s="60">
        <v>60</v>
      </c>
      <c r="AQ320" s="41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</row>
    <row r="321" spans="1:64" s="32" customFormat="1" ht="45" x14ac:dyDescent="0.25">
      <c r="A321" s="6" t="s">
        <v>843</v>
      </c>
      <c r="B321" s="9" t="s">
        <v>844</v>
      </c>
      <c r="C321" s="12" t="s">
        <v>845</v>
      </c>
      <c r="D321" s="11" t="s">
        <v>209</v>
      </c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50"/>
      <c r="AO321" s="49"/>
      <c r="AP321" s="60">
        <v>2</v>
      </c>
      <c r="AQ321" s="41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</row>
    <row r="322" spans="1:64" s="32" customFormat="1" ht="30" x14ac:dyDescent="0.25">
      <c r="A322" s="6" t="s">
        <v>26</v>
      </c>
      <c r="B322" s="9" t="s">
        <v>846</v>
      </c>
      <c r="C322" s="12" t="s">
        <v>847</v>
      </c>
      <c r="D322" s="11" t="s">
        <v>42</v>
      </c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50"/>
      <c r="AO322" s="49"/>
      <c r="AP322" s="60">
        <v>20</v>
      </c>
      <c r="AQ322" s="41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</row>
    <row r="323" spans="1:64" s="32" customFormat="1" ht="30" x14ac:dyDescent="0.25">
      <c r="A323" s="6" t="s">
        <v>26</v>
      </c>
      <c r="B323" s="9" t="s">
        <v>848</v>
      </c>
      <c r="C323" s="30" t="s">
        <v>849</v>
      </c>
      <c r="D323" s="11" t="s">
        <v>209</v>
      </c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50"/>
      <c r="AO323" s="49"/>
      <c r="AP323" s="59">
        <v>4</v>
      </c>
      <c r="AQ323" s="41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</row>
    <row r="324" spans="1:64" s="32" customFormat="1" ht="30" x14ac:dyDescent="0.25">
      <c r="A324" s="26" t="s">
        <v>26</v>
      </c>
      <c r="B324" s="9" t="s">
        <v>850</v>
      </c>
      <c r="C324" s="12" t="s">
        <v>851</v>
      </c>
      <c r="D324" s="16" t="s">
        <v>209</v>
      </c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50"/>
      <c r="AO324" s="49"/>
      <c r="AP324" s="57">
        <v>1</v>
      </c>
      <c r="AQ324" s="41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</row>
    <row r="325" spans="1:64" s="32" customFormat="1" ht="30" x14ac:dyDescent="0.25">
      <c r="A325" s="6" t="s">
        <v>26</v>
      </c>
      <c r="B325" s="9" t="s">
        <v>852</v>
      </c>
      <c r="C325" s="12" t="s">
        <v>853</v>
      </c>
      <c r="D325" s="11" t="s">
        <v>209</v>
      </c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50"/>
      <c r="AO325" s="49"/>
      <c r="AP325" s="59">
        <v>10</v>
      </c>
      <c r="AQ325" s="41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</row>
    <row r="326" spans="1:64" s="32" customFormat="1" ht="30" x14ac:dyDescent="0.25">
      <c r="A326" s="6" t="s">
        <v>26</v>
      </c>
      <c r="B326" s="9" t="s">
        <v>854</v>
      </c>
      <c r="C326" s="12" t="s">
        <v>857</v>
      </c>
      <c r="D326" s="11" t="s">
        <v>42</v>
      </c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50"/>
      <c r="AO326" s="49"/>
      <c r="AP326" s="60">
        <v>196</v>
      </c>
      <c r="AQ326" s="41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</row>
    <row r="327" spans="1:64" s="32" customFormat="1" ht="30" x14ac:dyDescent="0.25">
      <c r="A327" s="26" t="s">
        <v>26</v>
      </c>
      <c r="B327" s="9" t="s">
        <v>855</v>
      </c>
      <c r="C327" s="12" t="s">
        <v>859</v>
      </c>
      <c r="D327" s="16" t="s">
        <v>209</v>
      </c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50"/>
      <c r="AO327" s="49"/>
      <c r="AP327" s="57">
        <v>1</v>
      </c>
      <c r="AQ327" s="41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</row>
    <row r="328" spans="1:64" s="32" customFormat="1" ht="30" x14ac:dyDescent="0.25">
      <c r="A328" s="26" t="s">
        <v>26</v>
      </c>
      <c r="B328" s="9" t="s">
        <v>856</v>
      </c>
      <c r="C328" s="27" t="s">
        <v>860</v>
      </c>
      <c r="D328" s="16" t="s">
        <v>209</v>
      </c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50"/>
      <c r="AO328" s="49"/>
      <c r="AP328" s="57">
        <v>1</v>
      </c>
      <c r="AQ328" s="41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</row>
    <row r="329" spans="1:64" s="32" customFormat="1" ht="30" x14ac:dyDescent="0.25">
      <c r="A329" s="26" t="s">
        <v>26</v>
      </c>
      <c r="B329" s="9" t="s">
        <v>858</v>
      </c>
      <c r="C329" s="27" t="s">
        <v>861</v>
      </c>
      <c r="D329" s="16" t="s">
        <v>209</v>
      </c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50"/>
      <c r="AO329" s="49"/>
      <c r="AP329" s="57">
        <v>1</v>
      </c>
      <c r="AQ329" s="41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</row>
    <row r="330" spans="1:64" s="32" customFormat="1" x14ac:dyDescent="0.25">
      <c r="A330" s="6"/>
      <c r="B330" s="6" t="s">
        <v>862</v>
      </c>
      <c r="C330" s="7" t="s">
        <v>863</v>
      </c>
      <c r="D330" s="11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50"/>
      <c r="AO330" s="49"/>
      <c r="AP330" s="59"/>
      <c r="AQ330" s="41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</row>
    <row r="331" spans="1:64" s="32" customFormat="1" ht="45" x14ac:dyDescent="0.25">
      <c r="A331" s="6" t="s">
        <v>864</v>
      </c>
      <c r="B331" s="9" t="s">
        <v>865</v>
      </c>
      <c r="C331" s="13" t="s">
        <v>866</v>
      </c>
      <c r="D331" s="11" t="s">
        <v>209</v>
      </c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50"/>
      <c r="AO331" s="49"/>
      <c r="AP331" s="60">
        <v>6</v>
      </c>
      <c r="AQ331" s="41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</row>
    <row r="332" spans="1:64" s="32" customFormat="1" ht="30" x14ac:dyDescent="0.25">
      <c r="A332" s="6" t="s">
        <v>26</v>
      </c>
      <c r="B332" s="9" t="s">
        <v>867</v>
      </c>
      <c r="C332" s="12" t="s">
        <v>868</v>
      </c>
      <c r="D332" s="11" t="s">
        <v>209</v>
      </c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50"/>
      <c r="AO332" s="49"/>
      <c r="AP332" s="60">
        <v>10</v>
      </c>
      <c r="AQ332" s="41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</row>
    <row r="333" spans="1:64" s="32" customFormat="1" ht="45" x14ac:dyDescent="0.25">
      <c r="A333" s="6" t="s">
        <v>864</v>
      </c>
      <c r="B333" s="9" t="s">
        <v>869</v>
      </c>
      <c r="C333" s="13" t="s">
        <v>870</v>
      </c>
      <c r="D333" s="11" t="s">
        <v>209</v>
      </c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50"/>
      <c r="AO333" s="49"/>
      <c r="AP333" s="60">
        <v>1</v>
      </c>
      <c r="AQ333" s="41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</row>
    <row r="334" spans="1:64" s="32" customFormat="1" x14ac:dyDescent="0.25">
      <c r="A334" s="6"/>
      <c r="B334" s="6" t="s">
        <v>871</v>
      </c>
      <c r="C334" s="14" t="s">
        <v>872</v>
      </c>
      <c r="D334" s="6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50"/>
      <c r="AO334" s="49"/>
      <c r="AP334" s="63"/>
      <c r="AQ334" s="41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</row>
    <row r="335" spans="1:64" s="32" customFormat="1" ht="30" x14ac:dyDescent="0.25">
      <c r="A335" s="6" t="s">
        <v>873</v>
      </c>
      <c r="B335" s="9" t="s">
        <v>874</v>
      </c>
      <c r="C335" s="12" t="s">
        <v>875</v>
      </c>
      <c r="D335" s="9" t="s">
        <v>209</v>
      </c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50"/>
      <c r="AO335" s="49"/>
      <c r="AP335" s="59">
        <v>1</v>
      </c>
      <c r="AQ335" s="41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</row>
    <row r="336" spans="1:64" s="32" customFormat="1" ht="30" x14ac:dyDescent="0.25">
      <c r="A336" s="6" t="s">
        <v>876</v>
      </c>
      <c r="B336" s="9" t="s">
        <v>877</v>
      </c>
      <c r="C336" s="12" t="s">
        <v>878</v>
      </c>
      <c r="D336" s="9" t="s">
        <v>209</v>
      </c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50"/>
      <c r="AO336" s="49"/>
      <c r="AP336" s="59">
        <v>3</v>
      </c>
      <c r="AQ336" s="41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</row>
    <row r="337" spans="1:64" s="32" customFormat="1" ht="30" x14ac:dyDescent="0.25">
      <c r="A337" s="6" t="s">
        <v>879</v>
      </c>
      <c r="B337" s="9" t="s">
        <v>880</v>
      </c>
      <c r="C337" s="12" t="s">
        <v>881</v>
      </c>
      <c r="D337" s="9" t="s">
        <v>209</v>
      </c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50"/>
      <c r="AO337" s="49"/>
      <c r="AP337" s="59">
        <v>2</v>
      </c>
      <c r="AQ337" s="41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</row>
    <row r="338" spans="1:64" s="32" customFormat="1" ht="30" x14ac:dyDescent="0.25">
      <c r="A338" s="6" t="s">
        <v>882</v>
      </c>
      <c r="B338" s="9" t="s">
        <v>883</v>
      </c>
      <c r="C338" s="12" t="s">
        <v>884</v>
      </c>
      <c r="D338" s="9" t="s">
        <v>209</v>
      </c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50"/>
      <c r="AO338" s="49"/>
      <c r="AP338" s="59">
        <v>1</v>
      </c>
      <c r="AQ338" s="41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</row>
    <row r="339" spans="1:64" s="32" customFormat="1" ht="30" x14ac:dyDescent="0.25">
      <c r="A339" s="6" t="s">
        <v>885</v>
      </c>
      <c r="B339" s="9" t="s">
        <v>886</v>
      </c>
      <c r="C339" s="12" t="s">
        <v>887</v>
      </c>
      <c r="D339" s="9" t="s">
        <v>209</v>
      </c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50"/>
      <c r="AO339" s="49"/>
      <c r="AP339" s="59">
        <v>3</v>
      </c>
      <c r="AQ339" s="41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</row>
    <row r="340" spans="1:64" s="32" customFormat="1" ht="30" x14ac:dyDescent="0.25">
      <c r="A340" s="6" t="s">
        <v>888</v>
      </c>
      <c r="B340" s="9" t="s">
        <v>889</v>
      </c>
      <c r="C340" s="12" t="s">
        <v>890</v>
      </c>
      <c r="D340" s="9" t="s">
        <v>209</v>
      </c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50"/>
      <c r="AO340" s="49"/>
      <c r="AP340" s="59">
        <v>1</v>
      </c>
      <c r="AQ340" s="41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</row>
    <row r="341" spans="1:64" s="32" customFormat="1" ht="30" x14ac:dyDescent="0.25">
      <c r="A341" s="6" t="s">
        <v>891</v>
      </c>
      <c r="B341" s="9" t="s">
        <v>892</v>
      </c>
      <c r="C341" s="12" t="s">
        <v>893</v>
      </c>
      <c r="D341" s="9" t="s">
        <v>209</v>
      </c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50"/>
      <c r="AO341" s="49"/>
      <c r="AP341" s="59">
        <v>5</v>
      </c>
      <c r="AQ341" s="41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</row>
    <row r="342" spans="1:64" s="32" customFormat="1" ht="30" x14ac:dyDescent="0.25">
      <c r="A342" s="6" t="s">
        <v>894</v>
      </c>
      <c r="B342" s="9" t="s">
        <v>895</v>
      </c>
      <c r="C342" s="12" t="s">
        <v>896</v>
      </c>
      <c r="D342" s="11" t="s">
        <v>42</v>
      </c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50"/>
      <c r="AO342" s="49"/>
      <c r="AP342" s="60">
        <v>160</v>
      </c>
      <c r="AQ342" s="41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</row>
    <row r="343" spans="1:64" s="32" customFormat="1" ht="45" x14ac:dyDescent="0.25">
      <c r="A343" s="6" t="s">
        <v>26</v>
      </c>
      <c r="B343" s="9" t="s">
        <v>897</v>
      </c>
      <c r="C343" s="12" t="s">
        <v>898</v>
      </c>
      <c r="D343" s="11" t="s">
        <v>42</v>
      </c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50"/>
      <c r="AO343" s="49"/>
      <c r="AP343" s="60">
        <v>160</v>
      </c>
      <c r="AQ343" s="41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</row>
    <row r="344" spans="1:64" s="32" customFormat="1" x14ac:dyDescent="0.25">
      <c r="A344" s="6"/>
      <c r="B344" s="6" t="s">
        <v>899</v>
      </c>
      <c r="C344" s="7" t="s">
        <v>900</v>
      </c>
      <c r="D344" s="11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50"/>
      <c r="AO344" s="49"/>
      <c r="AP344" s="52"/>
      <c r="AQ344" s="41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</row>
    <row r="345" spans="1:64" s="32" customFormat="1" ht="30" x14ac:dyDescent="0.25">
      <c r="A345" s="6" t="s">
        <v>901</v>
      </c>
      <c r="B345" s="9" t="s">
        <v>902</v>
      </c>
      <c r="C345" s="12" t="s">
        <v>903</v>
      </c>
      <c r="D345" s="11" t="s">
        <v>11</v>
      </c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50">
        <v>629.41999999999996</v>
      </c>
      <c r="AO345" s="49"/>
      <c r="AP345" s="52">
        <f t="shared" ref="AP345:AP369" si="2">SUM(E345:AO345)</f>
        <v>629.41999999999996</v>
      </c>
      <c r="AQ345" s="41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</row>
    <row r="346" spans="1:64" s="32" customFormat="1" x14ac:dyDescent="0.25">
      <c r="A346" s="6"/>
      <c r="B346" s="6" t="s">
        <v>904</v>
      </c>
      <c r="C346" s="7" t="s">
        <v>905</v>
      </c>
      <c r="D346" s="11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50"/>
      <c r="AO346" s="49"/>
      <c r="AP346" s="52"/>
      <c r="AQ346" s="41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</row>
    <row r="347" spans="1:64" s="32" customFormat="1" ht="45" x14ac:dyDescent="0.25">
      <c r="A347" s="6" t="s">
        <v>906</v>
      </c>
      <c r="B347" s="9" t="s">
        <v>907</v>
      </c>
      <c r="C347" s="12" t="s">
        <v>908</v>
      </c>
      <c r="D347" s="11" t="s">
        <v>11</v>
      </c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50">
        <v>94.75</v>
      </c>
      <c r="AO347" s="49"/>
      <c r="AP347" s="52">
        <f t="shared" si="2"/>
        <v>94.75</v>
      </c>
      <c r="AQ347" s="41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</row>
    <row r="348" spans="1:64" s="32" customFormat="1" ht="45" x14ac:dyDescent="0.25">
      <c r="A348" s="6" t="s">
        <v>909</v>
      </c>
      <c r="B348" s="9" t="s">
        <v>910</v>
      </c>
      <c r="C348" s="12" t="s">
        <v>911</v>
      </c>
      <c r="D348" s="11" t="s">
        <v>11</v>
      </c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50">
        <v>94.75</v>
      </c>
      <c r="AO348" s="49"/>
      <c r="AP348" s="52">
        <f t="shared" si="2"/>
        <v>94.75</v>
      </c>
      <c r="AQ348" s="41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</row>
    <row r="349" spans="1:64" s="32" customFormat="1" x14ac:dyDescent="0.25">
      <c r="A349" s="6"/>
      <c r="B349" s="6" t="s">
        <v>912</v>
      </c>
      <c r="C349" s="7" t="s">
        <v>913</v>
      </c>
      <c r="D349" s="11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50"/>
      <c r="AO349" s="49"/>
      <c r="AP349" s="52"/>
      <c r="AQ349" s="41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</row>
    <row r="350" spans="1:64" s="32" customFormat="1" x14ac:dyDescent="0.25">
      <c r="A350" s="6"/>
      <c r="B350" s="6" t="s">
        <v>914</v>
      </c>
      <c r="C350" s="7" t="s">
        <v>915</v>
      </c>
      <c r="D350" s="11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50"/>
      <c r="AO350" s="49"/>
      <c r="AP350" s="52"/>
      <c r="AQ350" s="41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</row>
    <row r="351" spans="1:64" s="32" customFormat="1" ht="45" x14ac:dyDescent="0.25">
      <c r="A351" s="6" t="s">
        <v>916</v>
      </c>
      <c r="B351" s="9" t="s">
        <v>917</v>
      </c>
      <c r="C351" s="73" t="s">
        <v>1191</v>
      </c>
      <c r="D351" s="11" t="s">
        <v>209</v>
      </c>
      <c r="E351" s="49">
        <v>2</v>
      </c>
      <c r="F351" s="49">
        <v>3</v>
      </c>
      <c r="G351" s="49">
        <v>1</v>
      </c>
      <c r="H351" s="49">
        <v>1</v>
      </c>
      <c r="I351" s="49">
        <v>1</v>
      </c>
      <c r="J351" s="49"/>
      <c r="K351" s="49">
        <v>1</v>
      </c>
      <c r="L351" s="49">
        <v>1</v>
      </c>
      <c r="M351" s="49">
        <v>1</v>
      </c>
      <c r="N351" s="49">
        <v>1</v>
      </c>
      <c r="O351" s="49">
        <v>1</v>
      </c>
      <c r="P351" s="49">
        <v>1</v>
      </c>
      <c r="Q351" s="49">
        <v>1</v>
      </c>
      <c r="R351" s="49">
        <v>1</v>
      </c>
      <c r="S351" s="49"/>
      <c r="T351" s="49">
        <v>2</v>
      </c>
      <c r="U351" s="49">
        <v>1</v>
      </c>
      <c r="V351" s="49">
        <v>1</v>
      </c>
      <c r="W351" s="49"/>
      <c r="X351" s="49">
        <v>1</v>
      </c>
      <c r="Y351" s="49"/>
      <c r="Z351" s="49">
        <v>1</v>
      </c>
      <c r="AA351" s="49">
        <v>1</v>
      </c>
      <c r="AB351" s="49">
        <v>1</v>
      </c>
      <c r="AC351" s="49"/>
      <c r="AD351" s="49"/>
      <c r="AE351" s="49"/>
      <c r="AF351" s="49"/>
      <c r="AG351" s="49"/>
      <c r="AH351" s="49"/>
      <c r="AI351" s="49"/>
      <c r="AJ351" s="49"/>
      <c r="AK351" s="49">
        <v>1</v>
      </c>
      <c r="AL351" s="49"/>
      <c r="AM351" s="49"/>
      <c r="AN351" s="50"/>
      <c r="AO351" s="49"/>
      <c r="AP351" s="52">
        <f t="shared" si="2"/>
        <v>25</v>
      </c>
      <c r="AQ351" s="41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</row>
    <row r="352" spans="1:64" s="32" customFormat="1" ht="30" x14ac:dyDescent="0.25">
      <c r="A352" s="6" t="s">
        <v>918</v>
      </c>
      <c r="B352" s="9" t="s">
        <v>919</v>
      </c>
      <c r="C352" s="12" t="s">
        <v>920</v>
      </c>
      <c r="D352" s="11" t="s">
        <v>11</v>
      </c>
      <c r="E352" s="49"/>
      <c r="F352" s="65">
        <f>2*(2*(0.8*2.13)+1.66*2.13)</f>
        <v>13.887599999999999</v>
      </c>
      <c r="G352" s="65">
        <f>2*(1*(0.8*2.13))</f>
        <v>3.4079999999999999</v>
      </c>
      <c r="H352" s="65">
        <f>2*(1*(0.8*2.13))</f>
        <v>3.4079999999999999</v>
      </c>
      <c r="I352" s="65">
        <f>2*(1*(0.8*2.13))</f>
        <v>3.4079999999999999</v>
      </c>
      <c r="J352" s="65"/>
      <c r="K352" s="65">
        <f>2*(1*(0.8*2.13))</f>
        <v>3.4079999999999999</v>
      </c>
      <c r="L352" s="65">
        <f t="shared" ref="L352:R352" si="3">2*(1*(0.8*2.13))</f>
        <v>3.4079999999999999</v>
      </c>
      <c r="M352" s="65">
        <f t="shared" si="3"/>
        <v>3.4079999999999999</v>
      </c>
      <c r="N352" s="65">
        <f t="shared" si="3"/>
        <v>3.4079999999999999</v>
      </c>
      <c r="O352" s="65">
        <f t="shared" si="3"/>
        <v>3.4079999999999999</v>
      </c>
      <c r="P352" s="65">
        <f t="shared" si="3"/>
        <v>3.4079999999999999</v>
      </c>
      <c r="Q352" s="65">
        <f t="shared" si="3"/>
        <v>3.4079999999999999</v>
      </c>
      <c r="R352" s="65">
        <f t="shared" si="3"/>
        <v>3.4079999999999999</v>
      </c>
      <c r="S352" s="65"/>
      <c r="T352" s="65">
        <f>2*(2*(0.8*2.13))</f>
        <v>6.8159999999999998</v>
      </c>
      <c r="U352" s="65">
        <f>2*(1*(0.8*2.13))</f>
        <v>3.4079999999999999</v>
      </c>
      <c r="V352" s="65">
        <f t="shared" ref="V352:AB352" si="4">2*(1*(0.8*2.13))</f>
        <v>3.4079999999999999</v>
      </c>
      <c r="W352" s="65"/>
      <c r="X352" s="65">
        <f t="shared" si="4"/>
        <v>3.4079999999999999</v>
      </c>
      <c r="Y352" s="65"/>
      <c r="Z352" s="65">
        <f t="shared" si="4"/>
        <v>3.4079999999999999</v>
      </c>
      <c r="AA352" s="65">
        <f t="shared" si="4"/>
        <v>3.4079999999999999</v>
      </c>
      <c r="AB352" s="65">
        <f t="shared" si="4"/>
        <v>3.4079999999999999</v>
      </c>
      <c r="AC352" s="49"/>
      <c r="AD352" s="49"/>
      <c r="AE352" s="49"/>
      <c r="AF352" s="49"/>
      <c r="AG352" s="49"/>
      <c r="AH352" s="49"/>
      <c r="AI352" s="49"/>
      <c r="AJ352" s="49"/>
      <c r="AK352" s="65">
        <f>2*(1*(0.8*2.13))</f>
        <v>3.4079999999999999</v>
      </c>
      <c r="AL352" s="49"/>
      <c r="AM352" s="49"/>
      <c r="AN352" s="50"/>
      <c r="AO352" s="49"/>
      <c r="AP352" s="57">
        <f t="shared" si="2"/>
        <v>82.047600000000017</v>
      </c>
      <c r="AQ352" s="41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</row>
    <row r="353" spans="1:64" s="32" customFormat="1" ht="30" x14ac:dyDescent="0.25">
      <c r="A353" s="6" t="s">
        <v>921</v>
      </c>
      <c r="B353" s="9" t="s">
        <v>922</v>
      </c>
      <c r="C353" s="12" t="s">
        <v>923</v>
      </c>
      <c r="D353" s="11" t="s">
        <v>11</v>
      </c>
      <c r="E353" s="49">
        <f>2*(0.9*1.8)+2*(0.8*1.8)</f>
        <v>6.120000000000001</v>
      </c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50"/>
      <c r="AO353" s="49"/>
      <c r="AP353" s="52">
        <f t="shared" si="2"/>
        <v>6.120000000000001</v>
      </c>
      <c r="AQ353" s="41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</row>
    <row r="354" spans="1:64" s="32" customFormat="1" ht="30" x14ac:dyDescent="0.25">
      <c r="A354" s="6" t="s">
        <v>924</v>
      </c>
      <c r="B354" s="9" t="s">
        <v>925</v>
      </c>
      <c r="C354" s="10" t="s">
        <v>926</v>
      </c>
      <c r="D354" s="11" t="s">
        <v>209</v>
      </c>
      <c r="E354" s="49">
        <v>2</v>
      </c>
      <c r="F354" s="49">
        <v>3</v>
      </c>
      <c r="G354" s="49">
        <v>1</v>
      </c>
      <c r="H354" s="49">
        <v>1</v>
      </c>
      <c r="I354" s="49">
        <v>1</v>
      </c>
      <c r="J354" s="49"/>
      <c r="K354" s="49">
        <v>1</v>
      </c>
      <c r="L354" s="49">
        <v>1</v>
      </c>
      <c r="M354" s="49">
        <v>1</v>
      </c>
      <c r="N354" s="49">
        <v>1</v>
      </c>
      <c r="O354" s="49">
        <v>1</v>
      </c>
      <c r="P354" s="49">
        <v>1</v>
      </c>
      <c r="Q354" s="49">
        <v>1</v>
      </c>
      <c r="R354" s="49">
        <v>1</v>
      </c>
      <c r="S354" s="49"/>
      <c r="T354" s="49">
        <v>2</v>
      </c>
      <c r="U354" s="49">
        <v>1</v>
      </c>
      <c r="V354" s="49">
        <v>1</v>
      </c>
      <c r="W354" s="49"/>
      <c r="X354" s="49">
        <v>1</v>
      </c>
      <c r="Y354" s="49"/>
      <c r="Z354" s="49">
        <v>1</v>
      </c>
      <c r="AA354" s="49">
        <v>1</v>
      </c>
      <c r="AB354" s="49">
        <v>1</v>
      </c>
      <c r="AC354" s="49"/>
      <c r="AD354" s="49"/>
      <c r="AE354" s="49"/>
      <c r="AF354" s="49"/>
      <c r="AG354" s="49"/>
      <c r="AH354" s="49"/>
      <c r="AI354" s="49"/>
      <c r="AJ354" s="49"/>
      <c r="AK354" s="49">
        <v>1</v>
      </c>
      <c r="AL354" s="49"/>
      <c r="AM354" s="49"/>
      <c r="AN354" s="50"/>
      <c r="AO354" s="49"/>
      <c r="AP354" s="52">
        <f t="shared" si="2"/>
        <v>25</v>
      </c>
      <c r="AQ354" s="41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</row>
    <row r="355" spans="1:64" s="32" customFormat="1" x14ac:dyDescent="0.25">
      <c r="A355" s="6"/>
      <c r="B355" s="6" t="s">
        <v>927</v>
      </c>
      <c r="C355" s="7" t="s">
        <v>928</v>
      </c>
      <c r="D355" s="11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50"/>
      <c r="AO355" s="49"/>
      <c r="AP355" s="52"/>
      <c r="AQ355" s="41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</row>
    <row r="356" spans="1:64" s="32" customFormat="1" ht="30" x14ac:dyDescent="0.25">
      <c r="A356" s="6" t="s">
        <v>929</v>
      </c>
      <c r="B356" s="9" t="s">
        <v>930</v>
      </c>
      <c r="C356" s="12" t="s">
        <v>931</v>
      </c>
      <c r="D356" s="11" t="s">
        <v>42</v>
      </c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>
        <v>10.5</v>
      </c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50"/>
      <c r="AO356" s="49"/>
      <c r="AP356" s="52">
        <v>10.5</v>
      </c>
      <c r="AQ356" s="41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</row>
    <row r="357" spans="1:64" s="32" customFormat="1" ht="45" x14ac:dyDescent="0.25">
      <c r="A357" s="6" t="s">
        <v>932</v>
      </c>
      <c r="B357" s="9" t="s">
        <v>933</v>
      </c>
      <c r="C357" s="12" t="s">
        <v>934</v>
      </c>
      <c r="D357" s="11" t="s">
        <v>11</v>
      </c>
      <c r="E357" s="49">
        <f>2.55*0.5</f>
        <v>1.2749999999999999</v>
      </c>
      <c r="F357" s="49">
        <f>9*0.5</f>
        <v>4.5</v>
      </c>
      <c r="G357" s="49">
        <f>2.5*0.5</f>
        <v>1.25</v>
      </c>
      <c r="H357" s="66">
        <f>2.23*1.5</f>
        <v>3.3449999999999998</v>
      </c>
      <c r="I357" s="49"/>
      <c r="J357" s="49"/>
      <c r="K357" s="49">
        <f>1*0.5</f>
        <v>0.5</v>
      </c>
      <c r="L357" s="49">
        <f>1.46*1.6</f>
        <v>2.3359999999999999</v>
      </c>
      <c r="M357" s="49">
        <f>1.46*1.6</f>
        <v>2.3359999999999999</v>
      </c>
      <c r="N357" s="49">
        <f>1*0.5</f>
        <v>0.5</v>
      </c>
      <c r="O357" s="49">
        <f>1.46*1.6</f>
        <v>2.3359999999999999</v>
      </c>
      <c r="P357" s="49">
        <f>1.2*1.4</f>
        <v>1.68</v>
      </c>
      <c r="Q357" s="49"/>
      <c r="R357" s="49"/>
      <c r="S357" s="49"/>
      <c r="T357" s="49">
        <f>0.5*0.5</f>
        <v>0.25</v>
      </c>
      <c r="U357" s="49">
        <f>3*(1.46*1.4)+2.3*1.6</f>
        <v>9.8119999999999994</v>
      </c>
      <c r="V357" s="49">
        <f>2.3*0.5</f>
        <v>1.1499999999999999</v>
      </c>
      <c r="W357" s="49">
        <f>2*(1.46*1.6)</f>
        <v>4.6719999999999997</v>
      </c>
      <c r="X357" s="49">
        <f>(2.3*1.6)+0.75*1.4</f>
        <v>4.7299999999999995</v>
      </c>
      <c r="Y357" s="49">
        <f>2.13*0.86+0.75*1.4</f>
        <v>2.8817999999999997</v>
      </c>
      <c r="Z357" s="49"/>
      <c r="AA357" s="49"/>
      <c r="AB357" s="49">
        <f>1*0.5</f>
        <v>0.5</v>
      </c>
      <c r="AC357" s="49">
        <f>3.6*2.5+1.8*1.5</f>
        <v>11.7</v>
      </c>
      <c r="AD357" s="49"/>
      <c r="AE357" s="49"/>
      <c r="AF357" s="49"/>
      <c r="AG357" s="49"/>
      <c r="AH357" s="49"/>
      <c r="AI357" s="49"/>
      <c r="AJ357" s="49">
        <f>2.5*2.5+4.97*2.5+4*2.5</f>
        <v>28.674999999999997</v>
      </c>
      <c r="AK357" s="49">
        <f>1.6*2.1+0.9*2.1</f>
        <v>5.25</v>
      </c>
      <c r="AL357" s="49"/>
      <c r="AM357" s="49"/>
      <c r="AN357" s="50"/>
      <c r="AO357" s="49"/>
      <c r="AP357" s="57">
        <f t="shared" si="2"/>
        <v>89.678799999999981</v>
      </c>
      <c r="AQ357" s="41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</row>
    <row r="358" spans="1:64" s="32" customFormat="1" x14ac:dyDescent="0.25">
      <c r="A358" s="6"/>
      <c r="B358" s="6" t="s">
        <v>935</v>
      </c>
      <c r="C358" s="7" t="s">
        <v>936</v>
      </c>
      <c r="D358" s="11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50"/>
      <c r="AO358" s="49"/>
      <c r="AP358" s="52"/>
      <c r="AQ358" s="41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</row>
    <row r="359" spans="1:64" s="32" customFormat="1" ht="30" x14ac:dyDescent="0.25">
      <c r="A359" s="6" t="s">
        <v>937</v>
      </c>
      <c r="B359" s="9" t="s">
        <v>938</v>
      </c>
      <c r="C359" s="12" t="s">
        <v>939</v>
      </c>
      <c r="D359" s="11" t="s">
        <v>11</v>
      </c>
      <c r="E359" s="49">
        <f>2.55*0.5</f>
        <v>1.2749999999999999</v>
      </c>
      <c r="F359" s="49">
        <f>9*0.5</f>
        <v>4.5</v>
      </c>
      <c r="G359" s="49">
        <f>2.5*0.5</f>
        <v>1.25</v>
      </c>
      <c r="H359" s="49"/>
      <c r="I359" s="49"/>
      <c r="J359" s="49"/>
      <c r="K359" s="49">
        <f>1*0.5</f>
        <v>0.5</v>
      </c>
      <c r="L359" s="49">
        <f>1.46*1.6</f>
        <v>2.3359999999999999</v>
      </c>
      <c r="M359" s="49">
        <f>1.46*1.6</f>
        <v>2.3359999999999999</v>
      </c>
      <c r="N359" s="49">
        <f>1*0.5</f>
        <v>0.5</v>
      </c>
      <c r="O359" s="49">
        <f>1.46*1.6</f>
        <v>2.3359999999999999</v>
      </c>
      <c r="P359" s="49">
        <f>1.2*1.4</f>
        <v>1.68</v>
      </c>
      <c r="Q359" s="49"/>
      <c r="R359" s="49"/>
      <c r="S359" s="49"/>
      <c r="T359" s="49">
        <f>0.5*0.5</f>
        <v>0.25</v>
      </c>
      <c r="U359" s="49">
        <f>3*(1.46*1.4)+2.3*1.6</f>
        <v>9.8119999999999994</v>
      </c>
      <c r="V359" s="49">
        <f>2.3*0.5</f>
        <v>1.1499999999999999</v>
      </c>
      <c r="W359" s="49">
        <f>2*(1.46*1.6)</f>
        <v>4.6719999999999997</v>
      </c>
      <c r="X359" s="49">
        <f>(2.3*1.6)+0.75*1.4</f>
        <v>4.7299999999999995</v>
      </c>
      <c r="Y359" s="49">
        <f>2.13*0.86+0.75*1.4</f>
        <v>2.8817999999999997</v>
      </c>
      <c r="Z359" s="49"/>
      <c r="AA359" s="49"/>
      <c r="AB359" s="49">
        <f>1*0.5</f>
        <v>0.5</v>
      </c>
      <c r="AC359" s="49">
        <f>3.6*2.5+1.8*1.5</f>
        <v>11.7</v>
      </c>
      <c r="AD359" s="49"/>
      <c r="AE359" s="49"/>
      <c r="AF359" s="49"/>
      <c r="AG359" s="49"/>
      <c r="AH359" s="49"/>
      <c r="AI359" s="49"/>
      <c r="AJ359" s="49">
        <f>2.5*2.5+4.97*2.5+4*2.5</f>
        <v>28.674999999999997</v>
      </c>
      <c r="AK359" s="49">
        <f>1.6*2.1+0.9*2.1</f>
        <v>5.25</v>
      </c>
      <c r="AL359" s="49"/>
      <c r="AM359" s="49"/>
      <c r="AN359" s="50"/>
      <c r="AO359" s="49"/>
      <c r="AP359" s="57">
        <f t="shared" si="2"/>
        <v>86.333799999999982</v>
      </c>
      <c r="AQ359" s="41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</row>
    <row r="360" spans="1:64" s="32" customFormat="1" ht="30" x14ac:dyDescent="0.25">
      <c r="A360" s="6" t="s">
        <v>940</v>
      </c>
      <c r="B360" s="9" t="s">
        <v>941</v>
      </c>
      <c r="C360" s="12" t="s">
        <v>942</v>
      </c>
      <c r="D360" s="11" t="s">
        <v>11</v>
      </c>
      <c r="E360" s="49"/>
      <c r="F360" s="49"/>
      <c r="G360" s="49"/>
      <c r="H360" s="66">
        <f>2.23*1.5</f>
        <v>3.3449999999999998</v>
      </c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50"/>
      <c r="AO360" s="49"/>
      <c r="AP360" s="52">
        <v>3.45</v>
      </c>
      <c r="AQ360" s="41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</row>
    <row r="361" spans="1:64" s="32" customFormat="1" ht="30" x14ac:dyDescent="0.25">
      <c r="A361" s="6" t="s">
        <v>943</v>
      </c>
      <c r="B361" s="9" t="s">
        <v>944</v>
      </c>
      <c r="C361" s="12" t="s">
        <v>945</v>
      </c>
      <c r="D361" s="11" t="s">
        <v>11</v>
      </c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>
        <f>(2.3*2.06)</f>
        <v>4.7379999999999995</v>
      </c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50"/>
      <c r="AO361" s="49"/>
      <c r="AP361" s="57">
        <f t="shared" si="2"/>
        <v>4.7379999999999995</v>
      </c>
      <c r="AQ361" s="41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</row>
    <row r="362" spans="1:64" s="32" customFormat="1" x14ac:dyDescent="0.25">
      <c r="A362" s="6"/>
      <c r="B362" s="6" t="s">
        <v>946</v>
      </c>
      <c r="C362" s="7" t="s">
        <v>947</v>
      </c>
      <c r="D362" s="11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50"/>
      <c r="AO362" s="49"/>
      <c r="AP362" s="52"/>
      <c r="AQ362" s="41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</row>
    <row r="363" spans="1:64" s="32" customFormat="1" ht="45" x14ac:dyDescent="0.25">
      <c r="A363" s="6" t="s">
        <v>948</v>
      </c>
      <c r="B363" s="9" t="s">
        <v>949</v>
      </c>
      <c r="C363" s="12" t="s">
        <v>950</v>
      </c>
      <c r="D363" s="11" t="s">
        <v>11</v>
      </c>
      <c r="E363" s="49"/>
      <c r="F363" s="49"/>
      <c r="G363" s="49">
        <f>2*2.13</f>
        <v>4.26</v>
      </c>
      <c r="H363" s="49"/>
      <c r="I363" s="49"/>
      <c r="J363" s="49"/>
      <c r="K363" s="49">
        <f>0.86*2.13</f>
        <v>1.8317999999999999</v>
      </c>
      <c r="L363" s="49"/>
      <c r="M363" s="49"/>
      <c r="N363" s="49"/>
      <c r="O363" s="49"/>
      <c r="P363" s="49">
        <f>0.8*2.1</f>
        <v>1.6800000000000002</v>
      </c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65">
        <f>0.86*2.13</f>
        <v>1.8317999999999999</v>
      </c>
      <c r="AN363" s="50">
        <f>2*(3.5*2.1)</f>
        <v>14.700000000000001</v>
      </c>
      <c r="AO363" s="49"/>
      <c r="AP363" s="52">
        <f>SUM(E363:AN363)</f>
        <v>24.303599999999999</v>
      </c>
      <c r="AQ363" s="41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</row>
    <row r="364" spans="1:64" s="32" customFormat="1" ht="45" x14ac:dyDescent="0.25">
      <c r="A364" s="6" t="s">
        <v>951</v>
      </c>
      <c r="B364" s="9" t="s">
        <v>952</v>
      </c>
      <c r="C364" s="12" t="s">
        <v>953</v>
      </c>
      <c r="D364" s="11" t="s">
        <v>42</v>
      </c>
      <c r="E364" s="49"/>
      <c r="F364" s="49"/>
      <c r="G364" s="49"/>
      <c r="H364" s="49"/>
      <c r="I364" s="49"/>
      <c r="J364" s="49">
        <f>0.8+1*0.5</f>
        <v>1.3</v>
      </c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50"/>
      <c r="AO364" s="49"/>
      <c r="AP364" s="52">
        <f t="shared" si="2"/>
        <v>1.3</v>
      </c>
      <c r="AQ364" s="41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</row>
    <row r="365" spans="1:64" s="32" customFormat="1" ht="30" x14ac:dyDescent="0.25">
      <c r="A365" s="6" t="s">
        <v>1193</v>
      </c>
      <c r="B365" s="9" t="s">
        <v>954</v>
      </c>
      <c r="C365" s="74" t="s">
        <v>1192</v>
      </c>
      <c r="D365" s="11" t="s">
        <v>11</v>
      </c>
      <c r="E365" s="49"/>
      <c r="F365" s="49"/>
      <c r="G365" s="49"/>
      <c r="H365" s="49"/>
      <c r="I365" s="49"/>
      <c r="J365" s="49">
        <v>1.89</v>
      </c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50"/>
      <c r="AO365" s="49"/>
      <c r="AP365" s="52">
        <f t="shared" si="2"/>
        <v>1.89</v>
      </c>
      <c r="AQ365" s="41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</row>
    <row r="366" spans="1:64" s="32" customFormat="1" ht="30" x14ac:dyDescent="0.25">
      <c r="A366" s="6" t="s">
        <v>955</v>
      </c>
      <c r="B366" s="9" t="s">
        <v>956</v>
      </c>
      <c r="C366" s="18" t="s">
        <v>957</v>
      </c>
      <c r="D366" s="11" t="s">
        <v>11</v>
      </c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58">
        <f>2*(3.56*2.2)+1.91*2.2+0.97</f>
        <v>20.835999999999999</v>
      </c>
      <c r="AJ366" s="49"/>
      <c r="AK366" s="49"/>
      <c r="AL366" s="49"/>
      <c r="AM366" s="49"/>
      <c r="AN366" s="50"/>
      <c r="AO366" s="49"/>
      <c r="AP366" s="57">
        <v>21</v>
      </c>
      <c r="AQ366" s="41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</row>
    <row r="367" spans="1:64" s="32" customFormat="1" ht="45" x14ac:dyDescent="0.25">
      <c r="A367" s="6" t="s">
        <v>958</v>
      </c>
      <c r="B367" s="9" t="s">
        <v>959</v>
      </c>
      <c r="C367" s="33" t="s">
        <v>960</v>
      </c>
      <c r="D367" s="11" t="s">
        <v>11</v>
      </c>
      <c r="E367" s="49">
        <f>2.55*0.5</f>
        <v>1.2749999999999999</v>
      </c>
      <c r="F367" s="49">
        <f>9*0.5</f>
        <v>4.5</v>
      </c>
      <c r="G367" s="49">
        <f>2.5*0.5</f>
        <v>1.25</v>
      </c>
      <c r="H367" s="49"/>
      <c r="I367" s="49"/>
      <c r="J367" s="49"/>
      <c r="K367" s="49">
        <f>1*0.5</f>
        <v>0.5</v>
      </c>
      <c r="L367" s="49">
        <f>1.46*1.4</f>
        <v>2.044</v>
      </c>
      <c r="M367" s="49">
        <f>1.46*1.4</f>
        <v>2.044</v>
      </c>
      <c r="N367" s="49">
        <f>1*0.5</f>
        <v>0.5</v>
      </c>
      <c r="O367" s="49">
        <f>1.46*1.4</f>
        <v>2.044</v>
      </c>
      <c r="P367" s="49"/>
      <c r="Q367" s="49"/>
      <c r="R367" s="49">
        <f>2.5*0.5</f>
        <v>1.25</v>
      </c>
      <c r="S367" s="49"/>
      <c r="T367" s="49">
        <f>2*(0.5*0.5)</f>
        <v>0.5</v>
      </c>
      <c r="U367" s="49">
        <f>3*(1.46*1.4)</f>
        <v>6.1319999999999997</v>
      </c>
      <c r="V367" s="49"/>
      <c r="W367" s="49"/>
      <c r="X367" s="49"/>
      <c r="Y367" s="49"/>
      <c r="Z367" s="49"/>
      <c r="AA367" s="49"/>
      <c r="AB367" s="49"/>
      <c r="AC367" s="49">
        <f>2.3*1.6+3.6*2.5</f>
        <v>12.68</v>
      </c>
      <c r="AD367" s="49"/>
      <c r="AE367" s="49"/>
      <c r="AF367" s="49"/>
      <c r="AG367" s="49"/>
      <c r="AH367" s="49"/>
      <c r="AI367" s="49"/>
      <c r="AJ367" s="49">
        <f>4.97*2.5+4*2.5</f>
        <v>22.424999999999997</v>
      </c>
      <c r="AK367" s="49">
        <f>1*0.5</f>
        <v>0.5</v>
      </c>
      <c r="AL367" s="49"/>
      <c r="AM367" s="49"/>
      <c r="AN367" s="50"/>
      <c r="AO367" s="49"/>
      <c r="AP367" s="52">
        <v>90.34</v>
      </c>
      <c r="AQ367" s="41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</row>
    <row r="368" spans="1:64" s="32" customFormat="1" ht="30" x14ac:dyDescent="0.25">
      <c r="A368" s="6" t="s">
        <v>955</v>
      </c>
      <c r="B368" s="9" t="s">
        <v>961</v>
      </c>
      <c r="C368" s="12" t="s">
        <v>962</v>
      </c>
      <c r="D368" s="11" t="s">
        <v>11</v>
      </c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50">
        <f>1.6*(8.09+11.1+10.8+19.34+2.58)</f>
        <v>83.055999999999997</v>
      </c>
      <c r="AO368" s="49"/>
      <c r="AP368" s="52">
        <f t="shared" si="2"/>
        <v>83.055999999999997</v>
      </c>
      <c r="AQ368" s="41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</row>
    <row r="369" spans="1:64" s="32" customFormat="1" ht="30" x14ac:dyDescent="0.25">
      <c r="A369" s="6" t="s">
        <v>963</v>
      </c>
      <c r="B369" s="9" t="s">
        <v>964</v>
      </c>
      <c r="C369" s="13" t="s">
        <v>965</v>
      </c>
      <c r="D369" s="11" t="s">
        <v>11</v>
      </c>
      <c r="E369" s="49"/>
      <c r="F369" s="49"/>
      <c r="G369" s="49"/>
      <c r="H369" s="49"/>
      <c r="I369" s="49"/>
      <c r="J369" s="49"/>
      <c r="K369" s="49">
        <v>35.119999999999997</v>
      </c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50"/>
      <c r="AO369" s="49"/>
      <c r="AP369" s="52">
        <f t="shared" si="2"/>
        <v>35.119999999999997</v>
      </c>
      <c r="AQ369" s="41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</row>
    <row r="370" spans="1:64" s="32" customFormat="1" x14ac:dyDescent="0.25">
      <c r="A370" s="6"/>
      <c r="B370" s="6" t="s">
        <v>966</v>
      </c>
      <c r="C370" s="7" t="s">
        <v>967</v>
      </c>
      <c r="D370" s="11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50"/>
      <c r="AO370" s="49"/>
      <c r="AP370" s="52"/>
      <c r="AQ370" s="41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</row>
    <row r="371" spans="1:64" s="32" customFormat="1" ht="45" x14ac:dyDescent="0.25">
      <c r="A371" s="6" t="s">
        <v>968</v>
      </c>
      <c r="B371" s="9" t="s">
        <v>969</v>
      </c>
      <c r="C371" s="12" t="s">
        <v>970</v>
      </c>
      <c r="D371" s="11" t="s">
        <v>11</v>
      </c>
      <c r="E371" s="49">
        <f>2*33.83+2*9.09</f>
        <v>85.84</v>
      </c>
      <c r="F371" s="49">
        <f>2*86.97+116.58</f>
        <v>290.52</v>
      </c>
      <c r="G371" s="49">
        <f>2*16.01+19.31</f>
        <v>51.33</v>
      </c>
      <c r="H371" s="49">
        <f>2*20.54+4.97</f>
        <v>46.05</v>
      </c>
      <c r="I371" s="49">
        <f>2*12.31+4.97</f>
        <v>29.59</v>
      </c>
      <c r="J371" s="49">
        <f>2*4.59+4.69</f>
        <v>13.870000000000001</v>
      </c>
      <c r="K371" s="49">
        <f>2*19.17+8.41</f>
        <v>46.75</v>
      </c>
      <c r="L371" s="49">
        <f>2*27.68+25.31</f>
        <v>80.67</v>
      </c>
      <c r="M371" s="49">
        <f>2*26.33+19.81</f>
        <v>72.47</v>
      </c>
      <c r="N371" s="49">
        <f>2*9.32+2.6</f>
        <v>21.240000000000002</v>
      </c>
      <c r="O371" s="49">
        <f>2*23.09+14.25</f>
        <v>60.43</v>
      </c>
      <c r="P371" s="49">
        <f>2*13.77+5.51</f>
        <v>33.049999999999997</v>
      </c>
      <c r="Q371" s="49">
        <f>2*15.93+7.81</f>
        <v>39.67</v>
      </c>
      <c r="R371" s="49"/>
      <c r="S371" s="49">
        <f>2*18.36+12.71</f>
        <v>49.43</v>
      </c>
      <c r="T371" s="49">
        <f>2*16.78+4.1</f>
        <v>37.660000000000004</v>
      </c>
      <c r="U371" s="49">
        <f>2*37.99+46.37</f>
        <v>122.35</v>
      </c>
      <c r="V371" s="49">
        <f>2*22.71+8.07</f>
        <v>53.49</v>
      </c>
      <c r="W371" s="49">
        <f>2*14.83</f>
        <v>29.66</v>
      </c>
      <c r="X371" s="49">
        <f>2*4.24+3.27</f>
        <v>11.75</v>
      </c>
      <c r="Y371" s="49">
        <f>2*9.45+8.75</f>
        <v>27.65</v>
      </c>
      <c r="Z371" s="49">
        <f>2*9.45+7.39</f>
        <v>26.29</v>
      </c>
      <c r="AA371" s="49">
        <f>2*18.9+7.7</f>
        <v>45.5</v>
      </c>
      <c r="AB371" s="49">
        <f>(2*3.13)</f>
        <v>6.26</v>
      </c>
      <c r="AC371" s="49">
        <f>(2*117.51)+67.04</f>
        <v>302.06</v>
      </c>
      <c r="AD371" s="49">
        <f>2*128.03</f>
        <v>256.06</v>
      </c>
      <c r="AE371" s="49">
        <f>2*136.64</f>
        <v>273.27999999999997</v>
      </c>
      <c r="AF371" s="49">
        <f>2*129.82</f>
        <v>259.64</v>
      </c>
      <c r="AG371" s="49">
        <f>2*137.63</f>
        <v>275.26</v>
      </c>
      <c r="AH371" s="49">
        <f>2*(11.7+10.23+8.36+25)</f>
        <v>110.58</v>
      </c>
      <c r="AI371" s="49">
        <f>2*(406.0355)+0.32</f>
        <v>812.39100000000008</v>
      </c>
      <c r="AJ371" s="49"/>
      <c r="AK371" s="49"/>
      <c r="AL371" s="49"/>
      <c r="AM371" s="49"/>
      <c r="AN371" s="50"/>
      <c r="AO371" s="49"/>
      <c r="AP371" s="57">
        <f>SUM(E371:AO371)-(30*0.86*2.13+0.8*2.1+2*2.13+0.8*1.8*2+0.9*1.8*2+2*2.1+0.8*2.1+0.96*2.13+0.8*2.1+3.6*2.5+2.5*2.5+1.6*2.1+1.4*1.4*6+1.4*1.6*2+2.3*1.9+1.2*1.4+0.75*1.4*2+2.3*1.6+4.9525+4*2.5+1.8*3+1*1+2.5*0.5*2+1*0.5*4+0.5*0.5*2+2.3*0.5+2.55*0.5+9*0.5+1*0.5)</f>
        <v>3413.7146999999995</v>
      </c>
      <c r="AQ371" s="41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</row>
    <row r="372" spans="1:64" s="32" customFormat="1" ht="30" x14ac:dyDescent="0.25">
      <c r="A372" s="6" t="s">
        <v>971</v>
      </c>
      <c r="B372" s="9" t="s">
        <v>972</v>
      </c>
      <c r="C372" s="12" t="s">
        <v>973</v>
      </c>
      <c r="D372" s="11" t="s">
        <v>11</v>
      </c>
      <c r="E372" s="49">
        <v>64.900000000000006</v>
      </c>
      <c r="F372" s="49"/>
      <c r="G372" s="49"/>
      <c r="H372" s="49"/>
      <c r="I372" s="49"/>
      <c r="J372" s="49">
        <v>20.9</v>
      </c>
      <c r="K372" s="49"/>
      <c r="L372" s="49"/>
      <c r="M372" s="49"/>
      <c r="N372" s="49">
        <v>15.49</v>
      </c>
      <c r="O372" s="49"/>
      <c r="P372" s="49">
        <v>19.399999999999999</v>
      </c>
      <c r="Q372" s="49">
        <v>25.71</v>
      </c>
      <c r="R372" s="49"/>
      <c r="S372" s="49"/>
      <c r="T372" s="49">
        <v>27.16</v>
      </c>
      <c r="U372" s="49"/>
      <c r="V372" s="49"/>
      <c r="W372" s="49"/>
      <c r="X372" s="49"/>
      <c r="Y372" s="49"/>
      <c r="Z372" s="49"/>
      <c r="AA372" s="49"/>
      <c r="AB372" s="49">
        <v>14.17</v>
      </c>
      <c r="AC372" s="49">
        <v>88.1</v>
      </c>
      <c r="AD372" s="49">
        <f>(87.34+40.67+1.8)+40.67+1.8</f>
        <v>172.28000000000003</v>
      </c>
      <c r="AE372" s="49">
        <f t="shared" ref="AE372:AH372" si="5">AE376+AE377+AE380</f>
        <v>117.33250000000001</v>
      </c>
      <c r="AF372" s="49">
        <f>(112.54+17.2)+17.2</f>
        <v>146.94</v>
      </c>
      <c r="AG372" s="49">
        <f>AG376+AG377+AG380+1.22</f>
        <v>137.5275</v>
      </c>
      <c r="AH372" s="49">
        <f t="shared" si="5"/>
        <v>30.66</v>
      </c>
      <c r="AI372" s="49"/>
      <c r="AJ372" s="49"/>
      <c r="AK372" s="49">
        <v>53.22</v>
      </c>
      <c r="AL372" s="49">
        <v>11.71</v>
      </c>
      <c r="AM372" s="49">
        <v>11.88</v>
      </c>
      <c r="AN372" s="50"/>
      <c r="AO372" s="49"/>
      <c r="AP372" s="52">
        <f t="shared" ref="AP372:AP397" si="6">SUM(E372:AO372)</f>
        <v>957.38</v>
      </c>
      <c r="AQ372" s="41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</row>
    <row r="373" spans="1:64" s="32" customFormat="1" ht="45" x14ac:dyDescent="0.25">
      <c r="A373" s="6" t="s">
        <v>974</v>
      </c>
      <c r="B373" s="9" t="s">
        <v>975</v>
      </c>
      <c r="C373" s="12" t="s">
        <v>976</v>
      </c>
      <c r="D373" s="11" t="s">
        <v>11</v>
      </c>
      <c r="E373" s="49"/>
      <c r="F373" s="49">
        <f>45.22*2.5</f>
        <v>113.05</v>
      </c>
      <c r="G373" s="49">
        <f>17.37*2.5</f>
        <v>43.425000000000004</v>
      </c>
      <c r="H373" s="49">
        <f>9.12*2.5</f>
        <v>22.799999999999997</v>
      </c>
      <c r="I373" s="49">
        <f>9.12*2.5</f>
        <v>22.799999999999997</v>
      </c>
      <c r="J373" s="49"/>
      <c r="K373" s="49">
        <f>14.2*2.5</f>
        <v>35.5</v>
      </c>
      <c r="L373" s="49">
        <f>20.18*2.5</f>
        <v>50.45</v>
      </c>
      <c r="M373" s="49">
        <f>19.18*2.5</f>
        <v>47.95</v>
      </c>
      <c r="N373" s="49"/>
      <c r="O373" s="49">
        <f>16.8*2.5</f>
        <v>42</v>
      </c>
      <c r="P373" s="49"/>
      <c r="Q373" s="49"/>
      <c r="R373" s="49"/>
      <c r="S373" s="49">
        <f t="shared" ref="S373" si="7">(S371-S374)-S372</f>
        <v>36.72</v>
      </c>
      <c r="T373" s="49"/>
      <c r="U373" s="49">
        <f>27.85*2.5</f>
        <v>69.625</v>
      </c>
      <c r="V373" s="49">
        <f>12.82*2.5</f>
        <v>32.049999999999997</v>
      </c>
      <c r="W373" s="49"/>
      <c r="X373" s="49">
        <f>5.14*2.5+2.3*1.9</f>
        <v>17.22</v>
      </c>
      <c r="Y373" s="49">
        <f>12*2.5</f>
        <v>30</v>
      </c>
      <c r="Z373" s="49">
        <f>11.23*2.5</f>
        <v>28.075000000000003</v>
      </c>
      <c r="AA373" s="49">
        <f>11.4*2.5</f>
        <v>28.5</v>
      </c>
      <c r="AB373" s="49"/>
      <c r="AC373" s="49">
        <f>4*(18.3+6.1)</f>
        <v>97.6</v>
      </c>
      <c r="AD373" s="49"/>
      <c r="AE373" s="49"/>
      <c r="AF373" s="49"/>
      <c r="AG373" s="49"/>
      <c r="AH373" s="49">
        <f>2*(163.2+26)</f>
        <v>378.4</v>
      </c>
      <c r="AI373" s="49">
        <v>812.39</v>
      </c>
      <c r="AJ373" s="49"/>
      <c r="AK373" s="49">
        <v>19.09</v>
      </c>
      <c r="AL373" s="49"/>
      <c r="AM373" s="49"/>
      <c r="AN373" s="50"/>
      <c r="AO373" s="49"/>
      <c r="AP373" s="57">
        <f>SUM(E373:AO373)</f>
        <v>1927.6449999999998</v>
      </c>
      <c r="AQ373" s="41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</row>
    <row r="374" spans="1:64" s="32" customFormat="1" ht="30" x14ac:dyDescent="0.25">
      <c r="A374" s="6" t="s">
        <v>977</v>
      </c>
      <c r="B374" s="9" t="s">
        <v>978</v>
      </c>
      <c r="C374" s="12" t="s">
        <v>979</v>
      </c>
      <c r="D374" s="11" t="s">
        <v>11</v>
      </c>
      <c r="E374" s="49">
        <f>2*9.09</f>
        <v>18.18</v>
      </c>
      <c r="F374" s="49">
        <f>116.58</f>
        <v>116.58</v>
      </c>
      <c r="G374" s="49">
        <f>19.31</f>
        <v>19.309999999999999</v>
      </c>
      <c r="H374" s="49">
        <f>4.97</f>
        <v>4.97</v>
      </c>
      <c r="I374" s="49">
        <f>4.97</f>
        <v>4.97</v>
      </c>
      <c r="J374" s="49">
        <f>4.69</f>
        <v>4.6900000000000004</v>
      </c>
      <c r="K374" s="49">
        <f>8.41</f>
        <v>8.41</v>
      </c>
      <c r="L374" s="49">
        <f>25.31</f>
        <v>25.31</v>
      </c>
      <c r="M374" s="49">
        <f>19.81</f>
        <v>19.809999999999999</v>
      </c>
      <c r="N374" s="49">
        <f>2.6</f>
        <v>2.6</v>
      </c>
      <c r="O374" s="49">
        <v>14.25</v>
      </c>
      <c r="P374" s="49">
        <f>5.51</f>
        <v>5.51</v>
      </c>
      <c r="Q374" s="49">
        <f>7.81</f>
        <v>7.81</v>
      </c>
      <c r="R374" s="49"/>
      <c r="S374" s="49">
        <f>12.71</f>
        <v>12.71</v>
      </c>
      <c r="T374" s="49">
        <f>4.1</f>
        <v>4.0999999999999996</v>
      </c>
      <c r="U374" s="49">
        <v>46.37</v>
      </c>
      <c r="V374" s="49">
        <f>8.07</f>
        <v>8.07</v>
      </c>
      <c r="W374" s="49"/>
      <c r="X374" s="49">
        <v>3.27</v>
      </c>
      <c r="Y374" s="49">
        <f>8.75</f>
        <v>8.75</v>
      </c>
      <c r="Z374" s="49">
        <v>7.39</v>
      </c>
      <c r="AA374" s="49">
        <f>7.7</f>
        <v>7.7</v>
      </c>
      <c r="AB374" s="49">
        <f>2.19</f>
        <v>2.19</v>
      </c>
      <c r="AC374" s="49">
        <f>67.04</f>
        <v>67.040000000000006</v>
      </c>
      <c r="AD374" s="49"/>
      <c r="AE374" s="49"/>
      <c r="AF374" s="49"/>
      <c r="AG374" s="49"/>
      <c r="AH374" s="49"/>
      <c r="AI374" s="49"/>
      <c r="AJ374" s="49">
        <v>35.19</v>
      </c>
      <c r="AK374" s="49">
        <f>10.51+22.59</f>
        <v>33.1</v>
      </c>
      <c r="AL374" s="49">
        <v>37.4</v>
      </c>
      <c r="AM374" s="49">
        <v>3</v>
      </c>
      <c r="AN374" s="50"/>
      <c r="AO374" s="49"/>
      <c r="AP374" s="52">
        <f t="shared" si="6"/>
        <v>528.67999999999995</v>
      </c>
      <c r="AQ374" s="41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</row>
    <row r="375" spans="1:64" s="32" customFormat="1" x14ac:dyDescent="0.25">
      <c r="A375" s="6"/>
      <c r="B375" s="6" t="s">
        <v>980</v>
      </c>
      <c r="C375" s="7" t="s">
        <v>981</v>
      </c>
      <c r="D375" s="11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50"/>
      <c r="AO375" s="49"/>
      <c r="AP375" s="52"/>
      <c r="AQ375" s="41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</row>
    <row r="376" spans="1:64" s="32" customFormat="1" ht="75" x14ac:dyDescent="0.25">
      <c r="A376" s="6" t="s">
        <v>982</v>
      </c>
      <c r="B376" s="9" t="s">
        <v>983</v>
      </c>
      <c r="C376" s="12" t="s">
        <v>984</v>
      </c>
      <c r="D376" s="11" t="s">
        <v>11</v>
      </c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>
        <f>5.24*4.5+4.5*9.49</f>
        <v>66.284999999999997</v>
      </c>
      <c r="X376" s="49"/>
      <c r="Y376" s="49"/>
      <c r="Z376" s="49"/>
      <c r="AA376" s="49"/>
      <c r="AB376" s="49"/>
      <c r="AC376" s="49"/>
      <c r="AD376" s="49">
        <f>15.53*4.25+5.02*4.25</f>
        <v>87.337499999999991</v>
      </c>
      <c r="AE376" s="49">
        <f>14*4.25+7.45*1.25</f>
        <v>68.8125</v>
      </c>
      <c r="AF376" s="49">
        <f>26.48*4.25</f>
        <v>112.54</v>
      </c>
      <c r="AG376" s="49">
        <f>26.19*4.25</f>
        <v>111.3075</v>
      </c>
      <c r="AH376" s="58">
        <v>24.39</v>
      </c>
      <c r="AI376" s="49"/>
      <c r="AJ376" s="49"/>
      <c r="AK376" s="49"/>
      <c r="AL376" s="49">
        <f>4.25*3.2+1.5*2.5</f>
        <v>17.350000000000001</v>
      </c>
      <c r="AM376" s="49"/>
      <c r="AN376" s="50"/>
      <c r="AO376" s="49"/>
      <c r="AP376" s="57">
        <f>SUM(E376:AO376)</f>
        <v>488.02250000000004</v>
      </c>
      <c r="AQ376" s="41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</row>
    <row r="377" spans="1:64" s="32" customFormat="1" ht="78" customHeight="1" x14ac:dyDescent="0.25">
      <c r="A377" s="6" t="s">
        <v>985</v>
      </c>
      <c r="B377" s="9" t="s">
        <v>986</v>
      </c>
      <c r="C377" s="12" t="s">
        <v>987</v>
      </c>
      <c r="D377" s="11" t="s">
        <v>11</v>
      </c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>
        <f>36.22+4.45</f>
        <v>40.67</v>
      </c>
      <c r="AE377" s="49">
        <v>34.119999999999997</v>
      </c>
      <c r="AF377" s="49">
        <v>17.2</v>
      </c>
      <c r="AG377" s="49">
        <f>12.5*2</f>
        <v>25</v>
      </c>
      <c r="AH377" s="58">
        <v>6.27</v>
      </c>
      <c r="AI377" s="49"/>
      <c r="AJ377" s="49"/>
      <c r="AK377" s="49"/>
      <c r="AL377" s="49"/>
      <c r="AM377" s="49"/>
      <c r="AN377" s="50"/>
      <c r="AO377" s="49"/>
      <c r="AP377" s="52">
        <f t="shared" si="6"/>
        <v>123.25999999999999</v>
      </c>
      <c r="AQ377" s="41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</row>
    <row r="378" spans="1:64" s="32" customFormat="1" ht="75" x14ac:dyDescent="0.25">
      <c r="A378" s="6" t="s">
        <v>988</v>
      </c>
      <c r="B378" s="9" t="s">
        <v>989</v>
      </c>
      <c r="C378" s="12" t="s">
        <v>990</v>
      </c>
      <c r="D378" s="11" t="s">
        <v>11</v>
      </c>
      <c r="E378" s="49">
        <f>2*32.45</f>
        <v>64.900000000000006</v>
      </c>
      <c r="F378" s="49"/>
      <c r="G378" s="49"/>
      <c r="H378" s="49"/>
      <c r="I378" s="49"/>
      <c r="J378" s="49">
        <v>20.9</v>
      </c>
      <c r="K378" s="49"/>
      <c r="L378" s="49"/>
      <c r="M378" s="49"/>
      <c r="N378" s="49">
        <v>15.49</v>
      </c>
      <c r="O378" s="49"/>
      <c r="P378" s="49">
        <v>19.399999999999999</v>
      </c>
      <c r="Q378" s="49">
        <v>25.71</v>
      </c>
      <c r="R378" s="49"/>
      <c r="S378" s="49"/>
      <c r="T378" s="49">
        <f>2*13.58</f>
        <v>27.16</v>
      </c>
      <c r="U378" s="49"/>
      <c r="V378" s="49"/>
      <c r="W378" s="49"/>
      <c r="X378" s="49"/>
      <c r="Y378" s="49"/>
      <c r="Z378" s="49"/>
      <c r="AA378" s="49"/>
      <c r="AB378" s="49">
        <v>14.16</v>
      </c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50"/>
      <c r="AO378" s="49"/>
      <c r="AP378" s="52">
        <f t="shared" si="6"/>
        <v>187.72</v>
      </c>
      <c r="AQ378" s="41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</row>
    <row r="379" spans="1:64" s="32" customFormat="1" ht="75" x14ac:dyDescent="0.25">
      <c r="A379" s="6" t="s">
        <v>991</v>
      </c>
      <c r="B379" s="9" t="s">
        <v>992</v>
      </c>
      <c r="C379" s="12" t="s">
        <v>993</v>
      </c>
      <c r="D379" s="11" t="s">
        <v>11</v>
      </c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>
        <v>88.1</v>
      </c>
      <c r="AD379" s="49"/>
      <c r="AE379" s="49"/>
      <c r="AF379" s="49"/>
      <c r="AG379" s="49"/>
      <c r="AH379" s="49"/>
      <c r="AI379" s="49"/>
      <c r="AJ379" s="49"/>
      <c r="AK379" s="49">
        <f>31.86+2.7+19.34</f>
        <v>53.900000000000006</v>
      </c>
      <c r="AL379" s="49"/>
      <c r="AM379" s="49"/>
      <c r="AN379" s="50"/>
      <c r="AO379" s="49"/>
      <c r="AP379" s="52">
        <f t="shared" si="6"/>
        <v>142</v>
      </c>
      <c r="AQ379" s="41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</row>
    <row r="380" spans="1:64" s="32" customFormat="1" ht="45" x14ac:dyDescent="0.25">
      <c r="A380" s="6" t="s">
        <v>26</v>
      </c>
      <c r="B380" s="9" t="s">
        <v>994</v>
      </c>
      <c r="C380" s="12" t="s">
        <v>995</v>
      </c>
      <c r="D380" s="11" t="s">
        <v>11</v>
      </c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>
        <v>1.98</v>
      </c>
      <c r="AE380" s="49">
        <v>14.4</v>
      </c>
      <c r="AF380" s="49"/>
      <c r="AG380" s="49"/>
      <c r="AH380" s="49"/>
      <c r="AI380" s="49"/>
      <c r="AJ380" s="49"/>
      <c r="AK380" s="49"/>
      <c r="AL380" s="49"/>
      <c r="AM380" s="49"/>
      <c r="AN380" s="50"/>
      <c r="AO380" s="49"/>
      <c r="AP380" s="52">
        <f t="shared" si="6"/>
        <v>16.38</v>
      </c>
      <c r="AQ380" s="41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</row>
    <row r="381" spans="1:64" s="32" customFormat="1" x14ac:dyDescent="0.25">
      <c r="A381" s="6"/>
      <c r="B381" s="6" t="s">
        <v>996</v>
      </c>
      <c r="C381" s="7" t="s">
        <v>997</v>
      </c>
      <c r="D381" s="11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50"/>
      <c r="AO381" s="49"/>
      <c r="AP381" s="59"/>
      <c r="AQ381" s="41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</row>
    <row r="382" spans="1:64" s="32" customFormat="1" ht="45" x14ac:dyDescent="0.25">
      <c r="A382" s="6" t="s">
        <v>906</v>
      </c>
      <c r="B382" s="9" t="s">
        <v>998</v>
      </c>
      <c r="C382" s="12" t="s">
        <v>908</v>
      </c>
      <c r="D382" s="11" t="s">
        <v>11</v>
      </c>
      <c r="E382" s="49">
        <f>2*9.09</f>
        <v>18.18</v>
      </c>
      <c r="F382" s="49">
        <v>123.8</v>
      </c>
      <c r="G382" s="49">
        <v>18.850000000000001</v>
      </c>
      <c r="H382" s="49">
        <v>4.97</v>
      </c>
      <c r="I382" s="49">
        <v>4.95</v>
      </c>
      <c r="J382" s="49">
        <v>4.6900000000000004</v>
      </c>
      <c r="K382" s="49">
        <v>8.4</v>
      </c>
      <c r="L382" s="49">
        <v>25.2</v>
      </c>
      <c r="M382" s="49">
        <v>19.32</v>
      </c>
      <c r="N382" s="49">
        <v>2.64</v>
      </c>
      <c r="O382" s="49">
        <v>14.38</v>
      </c>
      <c r="P382" s="49">
        <v>5.51</v>
      </c>
      <c r="Q382" s="49">
        <v>7.81</v>
      </c>
      <c r="R382" s="49">
        <v>12.34</v>
      </c>
      <c r="S382" s="49">
        <v>12.71</v>
      </c>
      <c r="T382" s="49">
        <v>4.34</v>
      </c>
      <c r="U382" s="49">
        <v>46.38</v>
      </c>
      <c r="V382" s="49">
        <v>9.4600000000000009</v>
      </c>
      <c r="W382" s="49"/>
      <c r="X382" s="49">
        <v>3.28</v>
      </c>
      <c r="Y382" s="49">
        <v>8.75</v>
      </c>
      <c r="Z382" s="49">
        <v>7.4</v>
      </c>
      <c r="AA382" s="49">
        <v>7.7</v>
      </c>
      <c r="AB382" s="49">
        <v>2.19</v>
      </c>
      <c r="AC382" s="49">
        <v>53.6</v>
      </c>
      <c r="AD382" s="49"/>
      <c r="AE382" s="49"/>
      <c r="AF382" s="49"/>
      <c r="AG382" s="49"/>
      <c r="AH382" s="49"/>
      <c r="AI382" s="49"/>
      <c r="AJ382" s="49">
        <v>34.409999999999997</v>
      </c>
      <c r="AK382" s="49">
        <v>36.94</v>
      </c>
      <c r="AL382" s="49">
        <v>37.4</v>
      </c>
      <c r="AM382" s="49">
        <v>21.96</v>
      </c>
      <c r="AN382" s="50"/>
      <c r="AO382" s="49"/>
      <c r="AP382" s="52">
        <f t="shared" si="6"/>
        <v>557.55999999999983</v>
      </c>
      <c r="AQ382" s="41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</row>
    <row r="383" spans="1:64" s="32" customFormat="1" ht="45" x14ac:dyDescent="0.25">
      <c r="A383" s="6" t="s">
        <v>999</v>
      </c>
      <c r="B383" s="9" t="s">
        <v>1000</v>
      </c>
      <c r="C383" s="12" t="s">
        <v>1001</v>
      </c>
      <c r="D383" s="11" t="s">
        <v>11</v>
      </c>
      <c r="E383" s="49">
        <f>2*9.09</f>
        <v>18.18</v>
      </c>
      <c r="F383" s="49">
        <v>123.8</v>
      </c>
      <c r="G383" s="49">
        <v>18.850000000000001</v>
      </c>
      <c r="H383" s="49">
        <v>4.97</v>
      </c>
      <c r="I383" s="49">
        <v>4.95</v>
      </c>
      <c r="J383" s="49">
        <v>4.6900000000000004</v>
      </c>
      <c r="K383" s="49">
        <v>8.4</v>
      </c>
      <c r="L383" s="49">
        <v>25.2</v>
      </c>
      <c r="M383" s="49">
        <v>19.32</v>
      </c>
      <c r="N383" s="49">
        <v>2.64</v>
      </c>
      <c r="O383" s="49">
        <v>14.38</v>
      </c>
      <c r="P383" s="49">
        <v>5.51</v>
      </c>
      <c r="Q383" s="49">
        <v>7.81</v>
      </c>
      <c r="R383" s="49">
        <v>12.34</v>
      </c>
      <c r="S383" s="49">
        <v>12.71</v>
      </c>
      <c r="T383" s="49">
        <v>4.34</v>
      </c>
      <c r="U383" s="49">
        <v>46.38</v>
      </c>
      <c r="V383" s="49">
        <v>9.4600000000000009</v>
      </c>
      <c r="W383" s="49"/>
      <c r="X383" s="49">
        <v>3.28</v>
      </c>
      <c r="Y383" s="49">
        <v>8.75</v>
      </c>
      <c r="Z383" s="49">
        <v>7.4</v>
      </c>
      <c r="AA383" s="49">
        <v>7.7</v>
      </c>
      <c r="AB383" s="49">
        <v>2.19</v>
      </c>
      <c r="AC383" s="49">
        <v>53.6</v>
      </c>
      <c r="AD383" s="49"/>
      <c r="AE383" s="49"/>
      <c r="AF383" s="49"/>
      <c r="AG383" s="49"/>
      <c r="AH383" s="49"/>
      <c r="AI383" s="49"/>
      <c r="AJ383" s="49">
        <v>34.409999999999997</v>
      </c>
      <c r="AK383" s="49">
        <v>36.94</v>
      </c>
      <c r="AL383" s="49"/>
      <c r="AM383" s="49"/>
      <c r="AN383" s="50"/>
      <c r="AO383" s="49"/>
      <c r="AP383" s="52">
        <f t="shared" si="6"/>
        <v>498.19999999999976</v>
      </c>
      <c r="AQ383" s="41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</row>
    <row r="384" spans="1:64" s="32" customFormat="1" ht="45" x14ac:dyDescent="0.25">
      <c r="A384" s="6" t="s">
        <v>1002</v>
      </c>
      <c r="B384" s="9" t="s">
        <v>1003</v>
      </c>
      <c r="C384" s="12" t="s">
        <v>1004</v>
      </c>
      <c r="D384" s="11" t="s">
        <v>42</v>
      </c>
      <c r="E384" s="49">
        <f>2*12.24</f>
        <v>24.48</v>
      </c>
      <c r="F384" s="49">
        <v>45.22</v>
      </c>
      <c r="G384" s="49">
        <v>17.37</v>
      </c>
      <c r="H384" s="49">
        <v>9.1199999999999992</v>
      </c>
      <c r="I384" s="49">
        <v>9.11</v>
      </c>
      <c r="J384" s="49">
        <v>8.92</v>
      </c>
      <c r="K384" s="49">
        <v>14.2</v>
      </c>
      <c r="L384" s="49">
        <v>20.2</v>
      </c>
      <c r="M384" s="49">
        <v>19.46</v>
      </c>
      <c r="N384" s="49">
        <v>6.67</v>
      </c>
      <c r="O384" s="49">
        <v>17.100000000000001</v>
      </c>
      <c r="P384" s="49">
        <v>9.6</v>
      </c>
      <c r="Q384" s="49">
        <v>11.5</v>
      </c>
      <c r="R384" s="49">
        <v>14.31</v>
      </c>
      <c r="S384" s="49"/>
      <c r="T384" s="49">
        <v>5.81</v>
      </c>
      <c r="U384" s="49">
        <v>27.86</v>
      </c>
      <c r="V384" s="49">
        <v>12.82</v>
      </c>
      <c r="W384" s="49"/>
      <c r="X384" s="49">
        <v>7.45</v>
      </c>
      <c r="Y384" s="49">
        <v>12</v>
      </c>
      <c r="Z384" s="49">
        <v>11.23</v>
      </c>
      <c r="AA384" s="49">
        <v>11.4</v>
      </c>
      <c r="AB384" s="49">
        <v>6.1</v>
      </c>
      <c r="AC384" s="49">
        <v>29.72</v>
      </c>
      <c r="AD384" s="49"/>
      <c r="AE384" s="49"/>
      <c r="AF384" s="49"/>
      <c r="AG384" s="49"/>
      <c r="AH384" s="49"/>
      <c r="AI384" s="49"/>
      <c r="AJ384" s="49">
        <v>28.22</v>
      </c>
      <c r="AK384" s="49">
        <v>23.63</v>
      </c>
      <c r="AL384" s="49"/>
      <c r="AM384" s="49"/>
      <c r="AN384" s="50"/>
      <c r="AO384" s="49"/>
      <c r="AP384" s="52">
        <f t="shared" si="6"/>
        <v>403.5</v>
      </c>
      <c r="AQ384" s="41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</row>
    <row r="385" spans="1:64" s="32" customFormat="1" ht="45" x14ac:dyDescent="0.25">
      <c r="A385" s="6" t="s">
        <v>1005</v>
      </c>
      <c r="B385" s="9" t="s">
        <v>1006</v>
      </c>
      <c r="C385" s="12" t="s">
        <v>1007</v>
      </c>
      <c r="D385" s="11" t="s">
        <v>11</v>
      </c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50">
        <v>282.44</v>
      </c>
      <c r="AO385" s="49"/>
      <c r="AP385" s="52">
        <f t="shared" si="6"/>
        <v>282.44</v>
      </c>
      <c r="AQ385" s="41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</row>
    <row r="386" spans="1:64" s="32" customFormat="1" x14ac:dyDescent="0.25">
      <c r="A386" s="6"/>
      <c r="B386" s="6" t="s">
        <v>1008</v>
      </c>
      <c r="C386" s="7" t="s">
        <v>1009</v>
      </c>
      <c r="D386" s="11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50"/>
      <c r="AO386" s="49"/>
      <c r="AP386" s="52"/>
      <c r="AQ386" s="41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</row>
    <row r="387" spans="1:64" s="32" customFormat="1" ht="60" x14ac:dyDescent="0.25">
      <c r="A387" s="6" t="s">
        <v>1010</v>
      </c>
      <c r="B387" s="9" t="s">
        <v>1011</v>
      </c>
      <c r="C387" s="12" t="s">
        <v>1012</v>
      </c>
      <c r="D387" s="11" t="s">
        <v>11</v>
      </c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>
        <v>37.4</v>
      </c>
      <c r="AM387" s="49">
        <v>21.15</v>
      </c>
      <c r="AN387" s="50">
        <f>4.05+5.67+4.05-0.25</f>
        <v>13.52</v>
      </c>
      <c r="AO387" s="49"/>
      <c r="AP387" s="52">
        <f t="shared" si="6"/>
        <v>72.069999999999993</v>
      </c>
      <c r="AQ387" s="41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</row>
    <row r="388" spans="1:64" s="32" customFormat="1" x14ac:dyDescent="0.25">
      <c r="A388" s="6"/>
      <c r="B388" s="6" t="s">
        <v>1013</v>
      </c>
      <c r="C388" s="7" t="s">
        <v>1014</v>
      </c>
      <c r="D388" s="11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50"/>
      <c r="AO388" s="49"/>
      <c r="AP388" s="52"/>
      <c r="AQ388" s="41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</row>
    <row r="389" spans="1:64" s="32" customFormat="1" ht="75" x14ac:dyDescent="0.25">
      <c r="A389" s="6" t="s">
        <v>1015</v>
      </c>
      <c r="B389" s="9" t="s">
        <v>1016</v>
      </c>
      <c r="C389" s="12" t="s">
        <v>1017</v>
      </c>
      <c r="D389" s="11" t="s">
        <v>42</v>
      </c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50">
        <f>26.99+31.46+6.68+6.98+7.95+2*2.5+38.14+37.76+9.9</f>
        <v>170.86</v>
      </c>
      <c r="AO389" s="49"/>
      <c r="AP389" s="52">
        <f t="shared" si="6"/>
        <v>170.86</v>
      </c>
      <c r="AQ389" s="41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</row>
    <row r="390" spans="1:64" s="32" customFormat="1" ht="45" x14ac:dyDescent="0.25">
      <c r="A390" s="6" t="s">
        <v>1018</v>
      </c>
      <c r="B390" s="9" t="s">
        <v>1019</v>
      </c>
      <c r="C390" s="12" t="s">
        <v>1020</v>
      </c>
      <c r="D390" s="11" t="s">
        <v>11</v>
      </c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50">
        <v>1872</v>
      </c>
      <c r="AO390" s="49"/>
      <c r="AP390" s="52">
        <f t="shared" si="6"/>
        <v>1872</v>
      </c>
      <c r="AQ390" s="41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</row>
    <row r="391" spans="1:64" s="32" customFormat="1" ht="30" x14ac:dyDescent="0.25">
      <c r="A391" s="6" t="s">
        <v>1021</v>
      </c>
      <c r="B391" s="9" t="s">
        <v>1022</v>
      </c>
      <c r="C391" s="12" t="s">
        <v>1023</v>
      </c>
      <c r="D391" s="11" t="s">
        <v>51</v>
      </c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50">
        <v>1.95</v>
      </c>
      <c r="AO391" s="49"/>
      <c r="AP391" s="52">
        <f t="shared" si="6"/>
        <v>1.95</v>
      </c>
      <c r="AQ391" s="41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</row>
    <row r="392" spans="1:64" s="32" customFormat="1" x14ac:dyDescent="0.25">
      <c r="A392" s="6"/>
      <c r="B392" s="6" t="s">
        <v>1024</v>
      </c>
      <c r="C392" s="5" t="s">
        <v>1025</v>
      </c>
      <c r="D392" s="6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50"/>
      <c r="AO392" s="49"/>
      <c r="AP392" s="52"/>
      <c r="AQ392" s="41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</row>
    <row r="393" spans="1:64" s="32" customFormat="1" ht="30" x14ac:dyDescent="0.25">
      <c r="A393" s="6" t="s">
        <v>1026</v>
      </c>
      <c r="B393" s="9" t="s">
        <v>1027</v>
      </c>
      <c r="C393" s="40" t="s">
        <v>1028</v>
      </c>
      <c r="D393" s="11" t="s">
        <v>11</v>
      </c>
      <c r="E393" s="67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50">
        <v>188.44</v>
      </c>
      <c r="AO393" s="49"/>
      <c r="AP393" s="52">
        <f t="shared" si="6"/>
        <v>188.44</v>
      </c>
      <c r="AQ393" s="41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</row>
    <row r="394" spans="1:64" s="32" customFormat="1" ht="30" x14ac:dyDescent="0.25">
      <c r="A394" s="6" t="s">
        <v>1180</v>
      </c>
      <c r="B394" s="9" t="s">
        <v>1030</v>
      </c>
      <c r="C394" s="40" t="s">
        <v>1181</v>
      </c>
      <c r="D394" s="11" t="s">
        <v>209</v>
      </c>
      <c r="E394" s="67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50">
        <v>60</v>
      </c>
      <c r="AO394" s="49"/>
      <c r="AP394" s="52">
        <f t="shared" si="6"/>
        <v>60</v>
      </c>
      <c r="AQ394" s="41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</row>
    <row r="395" spans="1:64" s="32" customFormat="1" ht="45" x14ac:dyDescent="0.25">
      <c r="A395" s="6" t="s">
        <v>1182</v>
      </c>
      <c r="B395" s="9" t="s">
        <v>1033</v>
      </c>
      <c r="C395" s="40" t="s">
        <v>1183</v>
      </c>
      <c r="D395" s="11" t="s">
        <v>11</v>
      </c>
      <c r="E395" s="67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50">
        <v>5</v>
      </c>
      <c r="AO395" s="49"/>
      <c r="AP395" s="52">
        <f t="shared" si="6"/>
        <v>5</v>
      </c>
      <c r="AQ395" s="41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</row>
    <row r="396" spans="1:64" s="32" customFormat="1" ht="30" x14ac:dyDescent="0.25">
      <c r="A396" s="6" t="s">
        <v>1029</v>
      </c>
      <c r="B396" s="9" t="s">
        <v>1184</v>
      </c>
      <c r="C396" s="12" t="s">
        <v>1031</v>
      </c>
      <c r="D396" s="11" t="s">
        <v>209</v>
      </c>
      <c r="E396" s="53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50">
        <v>2</v>
      </c>
      <c r="AO396" s="49"/>
      <c r="AP396" s="52">
        <f t="shared" si="6"/>
        <v>2</v>
      </c>
      <c r="AQ396" s="41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</row>
    <row r="397" spans="1:64" s="32" customFormat="1" ht="45" x14ac:dyDescent="0.25">
      <c r="A397" s="6" t="s">
        <v>1032</v>
      </c>
      <c r="B397" s="9" t="s">
        <v>1185</v>
      </c>
      <c r="C397" s="12" t="s">
        <v>1034</v>
      </c>
      <c r="D397" s="11" t="s">
        <v>209</v>
      </c>
      <c r="E397" s="53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50">
        <v>2</v>
      </c>
      <c r="AO397" s="49"/>
      <c r="AP397" s="52">
        <f t="shared" si="6"/>
        <v>2</v>
      </c>
      <c r="AQ397" s="41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</row>
    <row r="398" spans="1:64" s="32" customFormat="1" x14ac:dyDescent="0.25">
      <c r="A398" s="6"/>
      <c r="B398" s="6" t="s">
        <v>1035</v>
      </c>
      <c r="C398" s="7" t="s">
        <v>1036</v>
      </c>
      <c r="D398" s="11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50"/>
      <c r="AO398" s="49"/>
      <c r="AP398" s="52"/>
      <c r="AQ398" s="41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</row>
    <row r="399" spans="1:64" s="32" customFormat="1" x14ac:dyDescent="0.25">
      <c r="A399" s="6"/>
      <c r="B399" s="6" t="s">
        <v>1037</v>
      </c>
      <c r="C399" s="7" t="s">
        <v>1038</v>
      </c>
      <c r="D399" s="11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50"/>
      <c r="AO399" s="49"/>
      <c r="AP399" s="52"/>
      <c r="AQ399" s="41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</row>
    <row r="400" spans="1:64" s="32" customFormat="1" ht="45" x14ac:dyDescent="0.25">
      <c r="A400" s="6" t="s">
        <v>1039</v>
      </c>
      <c r="B400" s="9" t="s">
        <v>1040</v>
      </c>
      <c r="C400" s="12" t="s">
        <v>1041</v>
      </c>
      <c r="D400" s="11" t="s">
        <v>11</v>
      </c>
      <c r="E400" s="49">
        <f>2*9.09</f>
        <v>18.18</v>
      </c>
      <c r="F400" s="49">
        <f>116.58</f>
        <v>116.58</v>
      </c>
      <c r="G400" s="49">
        <f>19.31</f>
        <v>19.309999999999999</v>
      </c>
      <c r="H400" s="49">
        <f>4.97</f>
        <v>4.97</v>
      </c>
      <c r="I400" s="49">
        <f>4.97</f>
        <v>4.97</v>
      </c>
      <c r="J400" s="49">
        <f>4.69</f>
        <v>4.6900000000000004</v>
      </c>
      <c r="K400" s="49">
        <f>8.41</f>
        <v>8.41</v>
      </c>
      <c r="L400" s="49">
        <f>25.31</f>
        <v>25.31</v>
      </c>
      <c r="M400" s="49">
        <f>19.81</f>
        <v>19.809999999999999</v>
      </c>
      <c r="N400" s="49">
        <f>2.6</f>
        <v>2.6</v>
      </c>
      <c r="O400" s="49">
        <v>14.25</v>
      </c>
      <c r="P400" s="49">
        <f>5.51</f>
        <v>5.51</v>
      </c>
      <c r="Q400" s="49">
        <f>7.81</f>
        <v>7.81</v>
      </c>
      <c r="R400" s="49"/>
      <c r="S400" s="49">
        <f>12.71</f>
        <v>12.71</v>
      </c>
      <c r="T400" s="49">
        <f>4.1</f>
        <v>4.0999999999999996</v>
      </c>
      <c r="U400" s="49">
        <v>46.37</v>
      </c>
      <c r="V400" s="49">
        <f>8.07</f>
        <v>8.07</v>
      </c>
      <c r="W400" s="49"/>
      <c r="X400" s="49">
        <v>3.27</v>
      </c>
      <c r="Y400" s="49">
        <f>8.75</f>
        <v>8.75</v>
      </c>
      <c r="Z400" s="49">
        <v>7.39</v>
      </c>
      <c r="AA400" s="49">
        <f>7.7</f>
        <v>7.7</v>
      </c>
      <c r="AB400" s="49">
        <f>2.19</f>
        <v>2.19</v>
      </c>
      <c r="AC400" s="49">
        <f>67.04</f>
        <v>67.040000000000006</v>
      </c>
      <c r="AD400" s="49"/>
      <c r="AE400" s="49"/>
      <c r="AF400" s="49"/>
      <c r="AG400" s="49"/>
      <c r="AH400" s="49"/>
      <c r="AI400" s="49"/>
      <c r="AJ400" s="49">
        <v>35.19</v>
      </c>
      <c r="AK400" s="49">
        <f>10.51+22.59</f>
        <v>33.1</v>
      </c>
      <c r="AL400" s="49">
        <v>37.4</v>
      </c>
      <c r="AM400" s="49">
        <v>3</v>
      </c>
      <c r="AN400" s="50"/>
      <c r="AO400" s="49"/>
      <c r="AP400" s="52">
        <f>SUM(E400:AO400)</f>
        <v>528.67999999999995</v>
      </c>
      <c r="AQ400" s="41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</row>
    <row r="401" spans="1:64" s="32" customFormat="1" ht="45" x14ac:dyDescent="0.25">
      <c r="A401" s="6" t="s">
        <v>1042</v>
      </c>
      <c r="B401" s="9" t="s">
        <v>1043</v>
      </c>
      <c r="C401" s="12" t="s">
        <v>1044</v>
      </c>
      <c r="D401" s="11" t="s">
        <v>11</v>
      </c>
      <c r="E401" s="49">
        <f>2*9.09</f>
        <v>18.18</v>
      </c>
      <c r="F401" s="49">
        <f>116.58</f>
        <v>116.58</v>
      </c>
      <c r="G401" s="49">
        <f>19.31</f>
        <v>19.309999999999999</v>
      </c>
      <c r="H401" s="49">
        <f>4.97</f>
        <v>4.97</v>
      </c>
      <c r="I401" s="49">
        <f>4.97</f>
        <v>4.97</v>
      </c>
      <c r="J401" s="49">
        <f>4.69</f>
        <v>4.6900000000000004</v>
      </c>
      <c r="K401" s="49">
        <f>8.41</f>
        <v>8.41</v>
      </c>
      <c r="L401" s="49">
        <f>25.31</f>
        <v>25.31</v>
      </c>
      <c r="M401" s="49">
        <f>19.81</f>
        <v>19.809999999999999</v>
      </c>
      <c r="N401" s="49">
        <f>2.6</f>
        <v>2.6</v>
      </c>
      <c r="O401" s="49">
        <v>14.25</v>
      </c>
      <c r="P401" s="49">
        <f>5.51</f>
        <v>5.51</v>
      </c>
      <c r="Q401" s="49">
        <f>7.81</f>
        <v>7.81</v>
      </c>
      <c r="R401" s="49"/>
      <c r="S401" s="49">
        <f>12.71</f>
        <v>12.71</v>
      </c>
      <c r="T401" s="49">
        <f>4.1</f>
        <v>4.0999999999999996</v>
      </c>
      <c r="U401" s="49">
        <v>46.37</v>
      </c>
      <c r="V401" s="49">
        <f>8.07</f>
        <v>8.07</v>
      </c>
      <c r="W401" s="49"/>
      <c r="X401" s="49">
        <v>3.27</v>
      </c>
      <c r="Y401" s="49">
        <f>8.75</f>
        <v>8.75</v>
      </c>
      <c r="Z401" s="49">
        <v>7.39</v>
      </c>
      <c r="AA401" s="49">
        <f>7.7</f>
        <v>7.7</v>
      </c>
      <c r="AB401" s="49">
        <f>2.19</f>
        <v>2.19</v>
      </c>
      <c r="AC401" s="49">
        <f>67.04</f>
        <v>67.040000000000006</v>
      </c>
      <c r="AD401" s="49"/>
      <c r="AE401" s="49"/>
      <c r="AF401" s="49"/>
      <c r="AG401" s="49"/>
      <c r="AH401" s="49"/>
      <c r="AI401" s="49"/>
      <c r="AJ401" s="49">
        <v>35.19</v>
      </c>
      <c r="AK401" s="49">
        <f>10.51+22.59</f>
        <v>33.1</v>
      </c>
      <c r="AL401" s="49">
        <v>37.4</v>
      </c>
      <c r="AM401" s="49">
        <v>3</v>
      </c>
      <c r="AN401" s="50"/>
      <c r="AO401" s="49"/>
      <c r="AP401" s="52">
        <f>SUM(E401:AO401)</f>
        <v>528.67999999999995</v>
      </c>
      <c r="AQ401" s="41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</row>
    <row r="402" spans="1:64" s="32" customFormat="1" x14ac:dyDescent="0.25">
      <c r="A402" s="6"/>
      <c r="B402" s="6" t="s">
        <v>1045</v>
      </c>
      <c r="C402" s="7" t="s">
        <v>1046</v>
      </c>
      <c r="D402" s="11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50"/>
      <c r="AO402" s="49"/>
      <c r="AP402" s="52"/>
      <c r="AQ402" s="41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</row>
    <row r="403" spans="1:64" s="32" customFormat="1" ht="45" x14ac:dyDescent="0.25">
      <c r="A403" s="6" t="s">
        <v>1047</v>
      </c>
      <c r="B403" s="9" t="s">
        <v>1048</v>
      </c>
      <c r="C403" s="12" t="s">
        <v>1049</v>
      </c>
      <c r="D403" s="11" t="s">
        <v>11</v>
      </c>
      <c r="E403" s="49"/>
      <c r="F403" s="49">
        <f>45.22*2.5</f>
        <v>113.05</v>
      </c>
      <c r="G403" s="49">
        <f>17.37*2.5</f>
        <v>43.425000000000004</v>
      </c>
      <c r="H403" s="49">
        <f>9.12*2.5</f>
        <v>22.799999999999997</v>
      </c>
      <c r="I403" s="49">
        <f>9.12*2.5</f>
        <v>22.799999999999997</v>
      </c>
      <c r="J403" s="49"/>
      <c r="K403" s="49">
        <f>14.2*2.5</f>
        <v>35.5</v>
      </c>
      <c r="L403" s="49">
        <f>20.18*2.5</f>
        <v>50.45</v>
      </c>
      <c r="M403" s="49">
        <f>19.18*2.5</f>
        <v>47.95</v>
      </c>
      <c r="N403" s="49"/>
      <c r="O403" s="49">
        <f>16.8*2.5</f>
        <v>42</v>
      </c>
      <c r="P403" s="49"/>
      <c r="Q403" s="49"/>
      <c r="R403" s="49"/>
      <c r="S403" s="49">
        <v>36.72</v>
      </c>
      <c r="T403" s="49"/>
      <c r="U403" s="49">
        <f>27.85*2.5</f>
        <v>69.625</v>
      </c>
      <c r="V403" s="49">
        <f>12.82*2.5</f>
        <v>32.049999999999997</v>
      </c>
      <c r="W403" s="49"/>
      <c r="X403" s="49">
        <f>5.14*2.5+2.3*1.9</f>
        <v>17.22</v>
      </c>
      <c r="Y403" s="49">
        <f>12*2.5</f>
        <v>30</v>
      </c>
      <c r="Z403" s="49">
        <f>11.23*2.5</f>
        <v>28.075000000000003</v>
      </c>
      <c r="AA403" s="49">
        <f>11.4*2.5</f>
        <v>28.5</v>
      </c>
      <c r="AB403" s="49"/>
      <c r="AC403" s="49">
        <f>4*(18.3+6.1)</f>
        <v>97.6</v>
      </c>
      <c r="AD403" s="49"/>
      <c r="AE403" s="49"/>
      <c r="AF403" s="49"/>
      <c r="AG403" s="49"/>
      <c r="AH403" s="49">
        <f>2*(163.2+26)</f>
        <v>378.4</v>
      </c>
      <c r="AI403" s="49">
        <f>2*(406.0355)+0.32</f>
        <v>812.39100000000008</v>
      </c>
      <c r="AJ403" s="49"/>
      <c r="AK403" s="49">
        <f>80*2.7-39.83</f>
        <v>176.17000000000002</v>
      </c>
      <c r="AL403" s="49"/>
      <c r="AM403" s="49"/>
      <c r="AN403" s="50"/>
      <c r="AO403" s="49"/>
      <c r="AP403" s="57">
        <f>SUM(E403:AO403)-(30*0.86*2.13+0.8*2.1+2*2.13+0.8*1.8*2+0.9*1.8*2+2*2.1+0.8*2.1+0.96*2.13+0.8*2.1+3.6*2.5+2.5*2.5+1.6*2.1+1.4*1.4*6+1.4*1.6*2+2.3*1.9+1.2*1.4+0.75*1.4*2+2.3*1.6+4.9525+4*2.5+1.8*3+1*1+2.5*0.5*2+1*0.5*4+0.5*0.5*2+2.3*0.5+2.55*0.5+9*0.5+1*0.5)</f>
        <v>1927.6497000000002</v>
      </c>
      <c r="AQ403" s="41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</row>
    <row r="404" spans="1:64" s="32" customFormat="1" ht="45" x14ac:dyDescent="0.25">
      <c r="A404" s="6" t="s">
        <v>1050</v>
      </c>
      <c r="B404" s="9" t="s">
        <v>1051</v>
      </c>
      <c r="C404" s="12" t="s">
        <v>1052</v>
      </c>
      <c r="D404" s="11" t="s">
        <v>11</v>
      </c>
      <c r="E404" s="49"/>
      <c r="F404" s="49">
        <f>45.22*2.5</f>
        <v>113.05</v>
      </c>
      <c r="G404" s="49">
        <f>17.37*2.5</f>
        <v>43.425000000000004</v>
      </c>
      <c r="H404" s="49">
        <f>9.12*2.5</f>
        <v>22.799999999999997</v>
      </c>
      <c r="I404" s="49">
        <f>9.12*2.5</f>
        <v>22.799999999999997</v>
      </c>
      <c r="J404" s="49"/>
      <c r="K404" s="49">
        <f>14.2*2.5</f>
        <v>35.5</v>
      </c>
      <c r="L404" s="49">
        <f>20.18*2.5</f>
        <v>50.45</v>
      </c>
      <c r="M404" s="49">
        <f>19.18*2.5</f>
        <v>47.95</v>
      </c>
      <c r="N404" s="49"/>
      <c r="O404" s="49">
        <f>16.8*2.5</f>
        <v>42</v>
      </c>
      <c r="P404" s="49"/>
      <c r="Q404" s="49"/>
      <c r="R404" s="49"/>
      <c r="S404" s="49">
        <v>36.72</v>
      </c>
      <c r="T404" s="49"/>
      <c r="U404" s="49">
        <f>27.85*2.5</f>
        <v>69.625</v>
      </c>
      <c r="V404" s="49">
        <f>12.82*2.5</f>
        <v>32.049999999999997</v>
      </c>
      <c r="W404" s="49"/>
      <c r="X404" s="49">
        <f>5.14*2.5+2.3*1.9</f>
        <v>17.22</v>
      </c>
      <c r="Y404" s="49">
        <f>12*2.5</f>
        <v>30</v>
      </c>
      <c r="Z404" s="49">
        <f>11.23*2.5</f>
        <v>28.075000000000003</v>
      </c>
      <c r="AA404" s="49">
        <f>11.4*2.5</f>
        <v>28.5</v>
      </c>
      <c r="AB404" s="49"/>
      <c r="AC404" s="49">
        <f>4*(18.3+6.1)</f>
        <v>97.6</v>
      </c>
      <c r="AD404" s="49"/>
      <c r="AE404" s="49"/>
      <c r="AF404" s="49"/>
      <c r="AG404" s="49"/>
      <c r="AH404" s="49">
        <f>2*(163.2+26)</f>
        <v>378.4</v>
      </c>
      <c r="AI404" s="49">
        <f>2*(406.0355)+0.32</f>
        <v>812.39100000000008</v>
      </c>
      <c r="AJ404" s="49"/>
      <c r="AK404" s="49">
        <f>80*2.7-39.83</f>
        <v>176.17000000000002</v>
      </c>
      <c r="AL404" s="49"/>
      <c r="AM404" s="49"/>
      <c r="AN404" s="50"/>
      <c r="AO404" s="49"/>
      <c r="AP404" s="57">
        <f>SUM(E404:AO404)-(30*0.86*2.13+0.8*2.1+2*2.13+0.8*1.8*2+0.9*1.8*2+2*2.1+0.8*2.1+0.96*2.13+0.8*2.1+3.6*2.5+2.5*2.5+1.6*2.1+1.4*1.4*6+1.4*1.6*2+2.3*1.9+1.2*1.4+0.75*1.4*2+2.3*1.6+4.9525+4*2.5+1.8*3+1*1+2.5*0.5*2+1*0.5*4+0.5*0.5*2+2.3*0.5+2.55*0.5+9*0.5+1*0.5)</f>
        <v>1927.6497000000002</v>
      </c>
      <c r="AQ404" s="41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</row>
    <row r="405" spans="1:64" s="32" customFormat="1" ht="45" x14ac:dyDescent="0.25">
      <c r="A405" s="6" t="s">
        <v>1053</v>
      </c>
      <c r="B405" s="9" t="s">
        <v>1054</v>
      </c>
      <c r="C405" s="12" t="s">
        <v>1055</v>
      </c>
      <c r="D405" s="11" t="s">
        <v>11</v>
      </c>
      <c r="E405" s="49">
        <f>(2*((0.8+2.13+2.13)*0.15))</f>
        <v>1.5179999999999998</v>
      </c>
      <c r="F405" s="49">
        <f>(3*((0.8+2.13+2.13)*0.15))</f>
        <v>2.2769999999999997</v>
      </c>
      <c r="G405" s="49">
        <f>((0.8+2.13+2.13)*0.15)</f>
        <v>0.7589999999999999</v>
      </c>
      <c r="H405" s="49">
        <f>((0.8+2.13+2.13)*0.15)</f>
        <v>0.7589999999999999</v>
      </c>
      <c r="I405" s="49">
        <f>((0.8+2.13+2.13)*0.15)</f>
        <v>0.7589999999999999</v>
      </c>
      <c r="J405" s="49"/>
      <c r="K405" s="49">
        <f t="shared" ref="K405:R405" si="8">((0.8+2.13+2.13)*0.15)</f>
        <v>0.7589999999999999</v>
      </c>
      <c r="L405" s="49">
        <f t="shared" si="8"/>
        <v>0.7589999999999999</v>
      </c>
      <c r="M405" s="49">
        <f t="shared" si="8"/>
        <v>0.7589999999999999</v>
      </c>
      <c r="N405" s="49">
        <f t="shared" si="8"/>
        <v>0.7589999999999999</v>
      </c>
      <c r="O405" s="49">
        <f t="shared" si="8"/>
        <v>0.7589999999999999</v>
      </c>
      <c r="P405" s="49">
        <f t="shared" si="8"/>
        <v>0.7589999999999999</v>
      </c>
      <c r="Q405" s="49">
        <f t="shared" si="8"/>
        <v>0.7589999999999999</v>
      </c>
      <c r="R405" s="49">
        <f t="shared" si="8"/>
        <v>0.7589999999999999</v>
      </c>
      <c r="S405" s="49"/>
      <c r="T405" s="49">
        <f>2*((0.8+2.13+2.13)*0.15)</f>
        <v>1.5179999999999998</v>
      </c>
      <c r="U405" s="49">
        <f>((0.8+2.13+2.13)*0.15)</f>
        <v>0.7589999999999999</v>
      </c>
      <c r="V405" s="49">
        <f>((0.8+2.13+2.13)*0.15)</f>
        <v>0.7589999999999999</v>
      </c>
      <c r="W405" s="49"/>
      <c r="X405" s="49">
        <f>((0.8+2.13+2.13)*0.15)</f>
        <v>0.7589999999999999</v>
      </c>
      <c r="Y405" s="49"/>
      <c r="Z405" s="49">
        <f>((0.8+2.13+2.13)*0.15)</f>
        <v>0.7589999999999999</v>
      </c>
      <c r="AA405" s="49">
        <f>((0.8+2.13+2.13)*0.15)</f>
        <v>0.7589999999999999</v>
      </c>
      <c r="AB405" s="49">
        <f>((0.8+2.13+2.13)*0.15)</f>
        <v>0.7589999999999999</v>
      </c>
      <c r="AC405" s="49"/>
      <c r="AD405" s="49"/>
      <c r="AE405" s="49"/>
      <c r="AF405" s="49"/>
      <c r="AG405" s="49"/>
      <c r="AH405" s="49"/>
      <c r="AI405" s="49"/>
      <c r="AJ405" s="49"/>
      <c r="AK405" s="49">
        <f>((0.8+2.13+2.13)*0.15)</f>
        <v>0.7589999999999999</v>
      </c>
      <c r="AL405" s="49"/>
      <c r="AM405" s="49"/>
      <c r="AN405" s="50"/>
      <c r="AO405" s="49"/>
      <c r="AP405" s="57">
        <f>SUM(E405:AO405)</f>
        <v>18.975000000000005</v>
      </c>
      <c r="AQ405" s="41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</row>
    <row r="406" spans="1:64" s="32" customFormat="1" ht="45" x14ac:dyDescent="0.25">
      <c r="A406" s="6" t="s">
        <v>1056</v>
      </c>
      <c r="B406" s="9" t="s">
        <v>1057</v>
      </c>
      <c r="C406" s="12" t="s">
        <v>1058</v>
      </c>
      <c r="D406" s="11" t="s">
        <v>11</v>
      </c>
      <c r="E406" s="49"/>
      <c r="F406" s="49"/>
      <c r="G406" s="49">
        <f>2*(2*2.13)</f>
        <v>8.52</v>
      </c>
      <c r="H406" s="49"/>
      <c r="I406" s="49"/>
      <c r="J406" s="49">
        <f>0.9*2.1</f>
        <v>1.8900000000000001</v>
      </c>
      <c r="K406" s="49"/>
      <c r="L406" s="49">
        <f>0.86*2.13+0.13</f>
        <v>1.9617999999999998</v>
      </c>
      <c r="M406" s="49"/>
      <c r="N406" s="49"/>
      <c r="O406" s="49"/>
      <c r="P406" s="49">
        <f>2*(0.8*2.1)</f>
        <v>3.3600000000000003</v>
      </c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65">
        <f>1.5*(0.86*2.13)</f>
        <v>2.7477</v>
      </c>
      <c r="AN406" s="50"/>
      <c r="AO406" s="49"/>
      <c r="AP406" s="57">
        <f>SUM(E406:AO406)</f>
        <v>18.479500000000002</v>
      </c>
      <c r="AQ406" s="41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</row>
    <row r="407" spans="1:64" s="32" customFormat="1" ht="30" x14ac:dyDescent="0.25">
      <c r="A407" s="6" t="s">
        <v>1059</v>
      </c>
      <c r="B407" s="9" t="s">
        <v>1060</v>
      </c>
      <c r="C407" s="12" t="s">
        <v>1061</v>
      </c>
      <c r="D407" s="11" t="s">
        <v>11</v>
      </c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50">
        <v>33.5</v>
      </c>
      <c r="AO407" s="49"/>
      <c r="AP407" s="52">
        <f>SUM(E407:AO407)</f>
        <v>33.5</v>
      </c>
      <c r="AQ407" s="41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</row>
    <row r="408" spans="1:64" s="32" customFormat="1" x14ac:dyDescent="0.25">
      <c r="A408" s="6"/>
      <c r="B408" s="6" t="s">
        <v>1062</v>
      </c>
      <c r="C408" s="7" t="s">
        <v>1063</v>
      </c>
      <c r="D408" s="11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50"/>
      <c r="AO408" s="49"/>
      <c r="AP408" s="52"/>
      <c r="AQ408" s="41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</row>
    <row r="409" spans="1:64" s="32" customFormat="1" x14ac:dyDescent="0.25">
      <c r="A409" s="6"/>
      <c r="B409" s="6" t="s">
        <v>1064</v>
      </c>
      <c r="C409" s="7" t="s">
        <v>1065</v>
      </c>
      <c r="D409" s="11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50"/>
      <c r="AO409" s="49"/>
      <c r="AP409" s="52"/>
      <c r="AQ409" s="41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</row>
    <row r="410" spans="1:64" s="32" customFormat="1" ht="60" x14ac:dyDescent="0.25">
      <c r="A410" s="6" t="s">
        <v>1066</v>
      </c>
      <c r="B410" s="11" t="s">
        <v>1067</v>
      </c>
      <c r="C410" s="17" t="s">
        <v>1068</v>
      </c>
      <c r="D410" s="11" t="s">
        <v>11</v>
      </c>
      <c r="E410" s="49">
        <f>2*0.95</f>
        <v>1.9</v>
      </c>
      <c r="F410" s="49"/>
      <c r="G410" s="49"/>
      <c r="H410" s="49"/>
      <c r="I410" s="49"/>
      <c r="J410" s="49"/>
      <c r="K410" s="49"/>
      <c r="L410" s="49"/>
      <c r="M410" s="49"/>
      <c r="N410" s="49">
        <v>0.52</v>
      </c>
      <c r="O410" s="49"/>
      <c r="P410" s="49"/>
      <c r="Q410" s="49">
        <v>0.89</v>
      </c>
      <c r="R410" s="49"/>
      <c r="S410" s="49"/>
      <c r="T410" s="49">
        <f>2*0.31</f>
        <v>0.62</v>
      </c>
      <c r="U410" s="49"/>
      <c r="V410" s="49"/>
      <c r="W410" s="49"/>
      <c r="X410" s="49">
        <v>0.69</v>
      </c>
      <c r="Y410" s="49"/>
      <c r="Z410" s="49"/>
      <c r="AA410" s="49"/>
      <c r="AB410" s="49">
        <v>0.57999999999999996</v>
      </c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50"/>
      <c r="AO410" s="49"/>
      <c r="AP410" s="52">
        <f>SUM(E410:AO410)</f>
        <v>5.2</v>
      </c>
      <c r="AQ410" s="41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</row>
    <row r="411" spans="1:64" s="32" customFormat="1" ht="30" x14ac:dyDescent="0.25">
      <c r="A411" s="6" t="s">
        <v>1069</v>
      </c>
      <c r="B411" s="11" t="s">
        <v>1070</v>
      </c>
      <c r="C411" s="17" t="s">
        <v>1071</v>
      </c>
      <c r="D411" s="11" t="s">
        <v>42</v>
      </c>
      <c r="E411" s="49"/>
      <c r="F411" s="49"/>
      <c r="G411" s="49"/>
      <c r="H411" s="49"/>
      <c r="I411" s="49"/>
      <c r="J411" s="49"/>
      <c r="K411" s="49"/>
      <c r="L411" s="49">
        <v>12.9</v>
      </c>
      <c r="M411" s="49">
        <v>4.21</v>
      </c>
      <c r="N411" s="49"/>
      <c r="O411" s="49"/>
      <c r="P411" s="49"/>
      <c r="Q411" s="49"/>
      <c r="R411" s="49"/>
      <c r="S411" s="49"/>
      <c r="T411" s="49"/>
      <c r="U411" s="49">
        <v>17.93</v>
      </c>
      <c r="V411" s="49"/>
      <c r="W411" s="49"/>
      <c r="X411" s="49"/>
      <c r="Y411" s="49">
        <v>9.35</v>
      </c>
      <c r="Z411" s="49">
        <v>5.61</v>
      </c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50"/>
      <c r="AO411" s="49"/>
      <c r="AP411" s="52">
        <f>SUM(E411:AO411)</f>
        <v>50</v>
      </c>
      <c r="AQ411" s="41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</row>
    <row r="412" spans="1:64" s="32" customFormat="1" x14ac:dyDescent="0.25">
      <c r="A412" s="6"/>
      <c r="B412" s="6" t="s">
        <v>1072</v>
      </c>
      <c r="C412" s="7" t="s">
        <v>1073</v>
      </c>
      <c r="D412" s="11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50"/>
      <c r="AO412" s="49"/>
      <c r="AP412" s="52"/>
      <c r="AQ412" s="41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</row>
    <row r="413" spans="1:64" s="32" customFormat="1" ht="30" x14ac:dyDescent="0.25">
      <c r="A413" s="6" t="s">
        <v>1074</v>
      </c>
      <c r="B413" s="9" t="s">
        <v>1075</v>
      </c>
      <c r="C413" s="12" t="s">
        <v>1076</v>
      </c>
      <c r="D413" s="11" t="s">
        <v>11</v>
      </c>
      <c r="E413" s="49">
        <v>5.87</v>
      </c>
      <c r="F413" s="49"/>
      <c r="G413" s="49"/>
      <c r="H413" s="49"/>
      <c r="I413" s="49"/>
      <c r="J413" s="49"/>
      <c r="K413" s="49"/>
      <c r="L413" s="49"/>
      <c r="M413" s="49"/>
      <c r="N413" s="49">
        <v>0.72</v>
      </c>
      <c r="O413" s="49"/>
      <c r="P413" s="49"/>
      <c r="Q413" s="49"/>
      <c r="R413" s="49"/>
      <c r="S413" s="49"/>
      <c r="T413" s="49">
        <v>3.42</v>
      </c>
      <c r="U413" s="49"/>
      <c r="V413" s="49"/>
      <c r="W413" s="49"/>
      <c r="X413" s="49"/>
      <c r="Y413" s="49"/>
      <c r="Z413" s="49"/>
      <c r="AA413" s="49"/>
      <c r="AB413" s="49">
        <v>2.88</v>
      </c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50"/>
      <c r="AO413" s="49"/>
      <c r="AP413" s="68">
        <f>SUM(E413:AO413)</f>
        <v>12.89</v>
      </c>
      <c r="AQ413" s="41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</row>
    <row r="414" spans="1:64" s="32" customFormat="1" x14ac:dyDescent="0.25">
      <c r="A414" s="6"/>
      <c r="B414" s="6" t="s">
        <v>1077</v>
      </c>
      <c r="C414" s="7" t="s">
        <v>1078</v>
      </c>
      <c r="D414" s="11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50"/>
      <c r="AO414" s="49"/>
      <c r="AP414" s="52"/>
      <c r="AQ414" s="41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</row>
    <row r="415" spans="1:64" s="32" customFormat="1" ht="30" x14ac:dyDescent="0.25">
      <c r="A415" s="6" t="s">
        <v>1079</v>
      </c>
      <c r="B415" s="11" t="s">
        <v>1080</v>
      </c>
      <c r="C415" s="17" t="s">
        <v>1081</v>
      </c>
      <c r="D415" s="11" t="s">
        <v>209</v>
      </c>
      <c r="E415" s="49">
        <v>4</v>
      </c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50"/>
      <c r="AO415" s="49"/>
      <c r="AP415" s="52">
        <f t="shared" ref="AP415:AP422" si="9">SUM(E415:AO415)</f>
        <v>4</v>
      </c>
      <c r="AQ415" s="41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</row>
    <row r="416" spans="1:64" s="32" customFormat="1" ht="60" x14ac:dyDescent="0.25">
      <c r="A416" s="6" t="s">
        <v>1082</v>
      </c>
      <c r="B416" s="11" t="s">
        <v>1083</v>
      </c>
      <c r="C416" s="17" t="s">
        <v>1084</v>
      </c>
      <c r="D416" s="11" t="s">
        <v>11</v>
      </c>
      <c r="E416" s="49"/>
      <c r="F416" s="49"/>
      <c r="G416" s="49"/>
      <c r="H416" s="49"/>
      <c r="I416" s="49"/>
      <c r="J416" s="49">
        <v>1.5</v>
      </c>
      <c r="K416" s="49">
        <f>5*2.9+0.38</f>
        <v>14.88</v>
      </c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50"/>
      <c r="AO416" s="49"/>
      <c r="AP416" s="52">
        <f t="shared" si="9"/>
        <v>16.380000000000003</v>
      </c>
      <c r="AQ416" s="41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</row>
    <row r="417" spans="1:64" s="32" customFormat="1" ht="30" x14ac:dyDescent="0.25">
      <c r="A417" s="6" t="s">
        <v>1085</v>
      </c>
      <c r="B417" s="9" t="s">
        <v>1086</v>
      </c>
      <c r="C417" s="10" t="s">
        <v>1087</v>
      </c>
      <c r="D417" s="11" t="s">
        <v>42</v>
      </c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50">
        <v>49</v>
      </c>
      <c r="AO417" s="49"/>
      <c r="AP417" s="52">
        <f t="shared" si="9"/>
        <v>49</v>
      </c>
      <c r="AQ417" s="41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</row>
    <row r="418" spans="1:64" s="32" customFormat="1" ht="45" x14ac:dyDescent="0.25">
      <c r="A418" s="6" t="s">
        <v>1088</v>
      </c>
      <c r="B418" s="9" t="s">
        <v>1089</v>
      </c>
      <c r="C418" s="12" t="s">
        <v>1090</v>
      </c>
      <c r="D418" s="11" t="s">
        <v>11</v>
      </c>
      <c r="E418" s="49">
        <f>2*(1.5*0.6)</f>
        <v>1.7999999999999998</v>
      </c>
      <c r="F418" s="49"/>
      <c r="G418" s="49"/>
      <c r="H418" s="49"/>
      <c r="I418" s="49"/>
      <c r="J418" s="49"/>
      <c r="K418" s="49"/>
      <c r="L418" s="49"/>
      <c r="M418" s="49"/>
      <c r="N418" s="49">
        <f>1*1.05</f>
        <v>1.05</v>
      </c>
      <c r="O418" s="49"/>
      <c r="P418" s="49"/>
      <c r="Q418" s="49"/>
      <c r="R418" s="49"/>
      <c r="S418" s="49"/>
      <c r="T418" s="49">
        <f>2*(1*0.95)</f>
        <v>1.9</v>
      </c>
      <c r="U418" s="49"/>
      <c r="V418" s="49"/>
      <c r="W418" s="49"/>
      <c r="X418" s="49"/>
      <c r="Y418" s="49"/>
      <c r="Z418" s="49"/>
      <c r="AA418" s="49"/>
      <c r="AB418" s="49">
        <v>1.1000000000000001</v>
      </c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50"/>
      <c r="AO418" s="49"/>
      <c r="AP418" s="52">
        <f t="shared" si="9"/>
        <v>5.85</v>
      </c>
      <c r="AQ418" s="41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</row>
    <row r="419" spans="1:64" s="32" customFormat="1" x14ac:dyDescent="0.25">
      <c r="A419" s="6"/>
      <c r="B419" s="6" t="s">
        <v>1091</v>
      </c>
      <c r="C419" s="7" t="s">
        <v>1092</v>
      </c>
      <c r="D419" s="11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50"/>
      <c r="AO419" s="49"/>
      <c r="AP419" s="52"/>
      <c r="AQ419" s="41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</row>
    <row r="420" spans="1:64" s="32" customFormat="1" ht="45" x14ac:dyDescent="0.25">
      <c r="A420" s="6" t="s">
        <v>1093</v>
      </c>
      <c r="B420" s="9" t="s">
        <v>1094</v>
      </c>
      <c r="C420" s="12" t="s">
        <v>1095</v>
      </c>
      <c r="D420" s="11" t="s">
        <v>42</v>
      </c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>
        <f>(2 * 7.2 )+ (2 * 6.8)</f>
        <v>28</v>
      </c>
      <c r="AF420" s="49"/>
      <c r="AG420" s="49"/>
      <c r="AH420" s="49"/>
      <c r="AI420" s="49"/>
      <c r="AJ420" s="49"/>
      <c r="AK420" s="49"/>
      <c r="AL420" s="49"/>
      <c r="AM420" s="49"/>
      <c r="AN420" s="50"/>
      <c r="AO420" s="49"/>
      <c r="AP420" s="52">
        <f t="shared" si="9"/>
        <v>28</v>
      </c>
      <c r="AQ420" s="41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</row>
    <row r="421" spans="1:64" s="32" customFormat="1" ht="30" x14ac:dyDescent="0.25">
      <c r="A421" s="6" t="s">
        <v>1096</v>
      </c>
      <c r="B421" s="9" t="s">
        <v>1097</v>
      </c>
      <c r="C421" s="12" t="s">
        <v>1098</v>
      </c>
      <c r="D421" s="11" t="s">
        <v>209</v>
      </c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50">
        <v>1</v>
      </c>
      <c r="AO421" s="49"/>
      <c r="AP421" s="52">
        <f t="shared" si="9"/>
        <v>1</v>
      </c>
      <c r="AQ421" s="41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</row>
    <row r="422" spans="1:64" s="32" customFormat="1" ht="45" x14ac:dyDescent="0.25">
      <c r="A422" s="6" t="s">
        <v>122</v>
      </c>
      <c r="B422" s="9" t="s">
        <v>1099</v>
      </c>
      <c r="C422" s="12" t="s">
        <v>1100</v>
      </c>
      <c r="D422" s="11" t="s">
        <v>42</v>
      </c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>
        <f>10.22+32.2</f>
        <v>42.42</v>
      </c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50"/>
      <c r="AO422" s="49"/>
      <c r="AP422" s="52">
        <f t="shared" si="9"/>
        <v>42.42</v>
      </c>
      <c r="AQ422" s="41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</row>
    <row r="423" spans="1:64" s="32" customFormat="1" x14ac:dyDescent="0.25">
      <c r="A423" s="6"/>
      <c r="B423" s="6" t="s">
        <v>1101</v>
      </c>
      <c r="C423" s="7" t="s">
        <v>1102</v>
      </c>
      <c r="D423" s="6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50"/>
      <c r="AO423" s="49"/>
      <c r="AP423" s="52"/>
      <c r="AQ423" s="41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</row>
    <row r="424" spans="1:64" s="32" customFormat="1" ht="60" x14ac:dyDescent="0.25">
      <c r="A424" s="6" t="s">
        <v>1103</v>
      </c>
      <c r="B424" s="9" t="s">
        <v>1104</v>
      </c>
      <c r="C424" s="12" t="s">
        <v>1105</v>
      </c>
      <c r="D424" s="11" t="s">
        <v>11</v>
      </c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50">
        <v>27</v>
      </c>
      <c r="AO424" s="49"/>
      <c r="AP424" s="52">
        <f>SUM(E424:AO424)</f>
        <v>27</v>
      </c>
      <c r="AQ424" s="41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</row>
    <row r="425" spans="1:64" s="32" customFormat="1" ht="75" x14ac:dyDescent="0.25">
      <c r="A425" s="6" t="s">
        <v>1106</v>
      </c>
      <c r="B425" s="9" t="s">
        <v>1107</v>
      </c>
      <c r="C425" s="12" t="s">
        <v>1108</v>
      </c>
      <c r="D425" s="11" t="s">
        <v>11</v>
      </c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50">
        <v>38</v>
      </c>
      <c r="AO425" s="49"/>
      <c r="AP425" s="52">
        <f>SUM(E425:AO425)</f>
        <v>38</v>
      </c>
      <c r="AQ425" s="41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</row>
    <row r="426" spans="1:64" s="32" customFormat="1" ht="30" x14ac:dyDescent="0.25">
      <c r="A426" s="6" t="s">
        <v>1109</v>
      </c>
      <c r="B426" s="9" t="s">
        <v>1110</v>
      </c>
      <c r="C426" s="12" t="s">
        <v>1111</v>
      </c>
      <c r="D426" s="11" t="s">
        <v>209</v>
      </c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50">
        <v>17</v>
      </c>
      <c r="AO426" s="49"/>
      <c r="AP426" s="52">
        <f>SUM(E426:AO426)</f>
        <v>17</v>
      </c>
      <c r="AQ426" s="41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</row>
    <row r="427" spans="1:64" s="32" customFormat="1" ht="45" x14ac:dyDescent="0.25">
      <c r="A427" s="6" t="s">
        <v>1177</v>
      </c>
      <c r="B427" s="9" t="s">
        <v>1178</v>
      </c>
      <c r="C427" s="43" t="s">
        <v>1179</v>
      </c>
      <c r="D427" s="11" t="s">
        <v>42</v>
      </c>
      <c r="E427" s="61">
        <v>15</v>
      </c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50">
        <v>15</v>
      </c>
      <c r="AO427" s="49"/>
      <c r="AP427" s="52">
        <v>15</v>
      </c>
      <c r="AQ427" s="41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</row>
    <row r="428" spans="1:64" s="32" customFormat="1" x14ac:dyDescent="0.25">
      <c r="A428" s="6"/>
      <c r="B428" s="6" t="s">
        <v>1112</v>
      </c>
      <c r="C428" s="7" t="s">
        <v>1113</v>
      </c>
      <c r="D428" s="11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50"/>
      <c r="AO428" s="49"/>
      <c r="AP428" s="52"/>
      <c r="AQ428" s="41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</row>
    <row r="429" spans="1:64" s="32" customFormat="1" ht="30" x14ac:dyDescent="0.25">
      <c r="A429" s="6" t="s">
        <v>1114</v>
      </c>
      <c r="B429" s="9" t="s">
        <v>1115</v>
      </c>
      <c r="C429" s="12" t="s">
        <v>1116</v>
      </c>
      <c r="D429" s="11" t="s">
        <v>11</v>
      </c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50">
        <v>584.1</v>
      </c>
      <c r="AO429" s="49"/>
      <c r="AP429" s="69">
        <f>SUM(E429:AO429)</f>
        <v>584.1</v>
      </c>
      <c r="AQ429" s="41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</row>
    <row r="430" spans="1:64" x14ac:dyDescent="0.25">
      <c r="AQ430" s="37"/>
    </row>
    <row r="431" spans="1:64" x14ac:dyDescent="0.25">
      <c r="AQ431" s="37"/>
    </row>
    <row r="432" spans="1:64" x14ac:dyDescent="0.25">
      <c r="AQ432" s="37"/>
    </row>
    <row r="433" spans="43:43" x14ac:dyDescent="0.25">
      <c r="AQ433" s="37"/>
    </row>
    <row r="434" spans="43:43" x14ac:dyDescent="0.25">
      <c r="AQ434" s="37"/>
    </row>
    <row r="435" spans="43:43" x14ac:dyDescent="0.25">
      <c r="AQ435" s="37"/>
    </row>
    <row r="436" spans="43:43" x14ac:dyDescent="0.25">
      <c r="AQ436" s="37"/>
    </row>
    <row r="437" spans="43:43" x14ac:dyDescent="0.25">
      <c r="AQ437" s="37"/>
    </row>
    <row r="438" spans="43:43" x14ac:dyDescent="0.25">
      <c r="AQ438" s="37"/>
    </row>
    <row r="439" spans="43:43" x14ac:dyDescent="0.25">
      <c r="AQ439" s="37"/>
    </row>
    <row r="440" spans="43:43" x14ac:dyDescent="0.25">
      <c r="AQ440" s="37"/>
    </row>
    <row r="441" spans="43:43" x14ac:dyDescent="0.25">
      <c r="AQ441" s="37"/>
    </row>
    <row r="442" spans="43:43" x14ac:dyDescent="0.25">
      <c r="AQ442" s="37"/>
    </row>
    <row r="443" spans="43:43" x14ac:dyDescent="0.25">
      <c r="AQ443" s="37"/>
    </row>
    <row r="444" spans="43:43" x14ac:dyDescent="0.25">
      <c r="AQ444" s="37"/>
    </row>
    <row r="445" spans="43:43" x14ac:dyDescent="0.25">
      <c r="AQ445" s="37"/>
    </row>
    <row r="446" spans="43:43" x14ac:dyDescent="0.25">
      <c r="AQ446" s="37"/>
    </row>
    <row r="447" spans="43:43" x14ac:dyDescent="0.25">
      <c r="AQ447" s="37"/>
    </row>
    <row r="448" spans="43:43" x14ac:dyDescent="0.25">
      <c r="AQ448" s="37"/>
    </row>
    <row r="449" spans="43:43" x14ac:dyDescent="0.25">
      <c r="AQ449" s="37"/>
    </row>
    <row r="450" spans="43:43" x14ac:dyDescent="0.25">
      <c r="AQ450" s="37"/>
    </row>
    <row r="451" spans="43:43" x14ac:dyDescent="0.25">
      <c r="AQ451" s="37"/>
    </row>
    <row r="452" spans="43:43" x14ac:dyDescent="0.25">
      <c r="AQ452" s="37"/>
    </row>
    <row r="453" spans="43:43" x14ac:dyDescent="0.25">
      <c r="AQ453" s="37"/>
    </row>
    <row r="454" spans="43:43" x14ac:dyDescent="0.25">
      <c r="AQ454" s="37"/>
    </row>
    <row r="455" spans="43:43" x14ac:dyDescent="0.25">
      <c r="AQ455" s="37"/>
    </row>
    <row r="456" spans="43:43" x14ac:dyDescent="0.25">
      <c r="AQ456" s="37"/>
    </row>
    <row r="457" spans="43:43" x14ac:dyDescent="0.25">
      <c r="AQ457" s="37"/>
    </row>
    <row r="458" spans="43:43" x14ac:dyDescent="0.25">
      <c r="AQ458" s="37"/>
    </row>
    <row r="459" spans="43:43" x14ac:dyDescent="0.25">
      <c r="AQ459" s="37"/>
    </row>
    <row r="460" spans="43:43" x14ac:dyDescent="0.25">
      <c r="AQ460" s="37"/>
    </row>
    <row r="461" spans="43:43" x14ac:dyDescent="0.25">
      <c r="AQ461" s="37"/>
    </row>
    <row r="462" spans="43:43" x14ac:dyDescent="0.25">
      <c r="AQ462" s="37"/>
    </row>
    <row r="463" spans="43:43" x14ac:dyDescent="0.25">
      <c r="AQ463" s="37"/>
    </row>
    <row r="464" spans="43:43" x14ac:dyDescent="0.25">
      <c r="AQ464" s="37"/>
    </row>
    <row r="465" spans="43:43" x14ac:dyDescent="0.25">
      <c r="AQ465" s="37"/>
    </row>
    <row r="466" spans="43:43" x14ac:dyDescent="0.25">
      <c r="AQ466" s="37"/>
    </row>
    <row r="467" spans="43:43" x14ac:dyDescent="0.25">
      <c r="AQ467" s="37"/>
    </row>
    <row r="468" spans="43:43" x14ac:dyDescent="0.25">
      <c r="AQ468" s="37"/>
    </row>
    <row r="469" spans="43:43" x14ac:dyDescent="0.25">
      <c r="AQ469" s="37"/>
    </row>
    <row r="470" spans="43:43" x14ac:dyDescent="0.25">
      <c r="AQ470" s="37"/>
    </row>
    <row r="471" spans="43:43" x14ac:dyDescent="0.25">
      <c r="AQ471" s="37"/>
    </row>
    <row r="472" spans="43:43" x14ac:dyDescent="0.25">
      <c r="AQ472" s="37"/>
    </row>
    <row r="473" spans="43:43" x14ac:dyDescent="0.25">
      <c r="AQ473" s="37"/>
    </row>
    <row r="474" spans="43:43" x14ac:dyDescent="0.25">
      <c r="AQ474" s="37"/>
    </row>
    <row r="475" spans="43:43" x14ac:dyDescent="0.25">
      <c r="AQ475" s="37"/>
    </row>
    <row r="476" spans="43:43" x14ac:dyDescent="0.25">
      <c r="AQ476" s="37"/>
    </row>
    <row r="477" spans="43:43" x14ac:dyDescent="0.25">
      <c r="AQ477" s="37"/>
    </row>
    <row r="478" spans="43:43" x14ac:dyDescent="0.25">
      <c r="AQ478" s="37"/>
    </row>
    <row r="479" spans="43:43" x14ac:dyDescent="0.25">
      <c r="AQ479" s="37"/>
    </row>
    <row r="480" spans="43:43" x14ac:dyDescent="0.25">
      <c r="AQ480" s="37"/>
    </row>
    <row r="481" spans="43:43" x14ac:dyDescent="0.25">
      <c r="AQ481" s="37"/>
    </row>
    <row r="482" spans="43:43" x14ac:dyDescent="0.25">
      <c r="AQ482" s="37"/>
    </row>
    <row r="483" spans="43:43" x14ac:dyDescent="0.25">
      <c r="AQ483" s="37"/>
    </row>
    <row r="484" spans="43:43" x14ac:dyDescent="0.25">
      <c r="AQ484" s="37"/>
    </row>
    <row r="485" spans="43:43" x14ac:dyDescent="0.25">
      <c r="AQ485" s="37"/>
    </row>
    <row r="486" spans="43:43" x14ac:dyDescent="0.25">
      <c r="AQ486" s="37"/>
    </row>
    <row r="487" spans="43:43" x14ac:dyDescent="0.25">
      <c r="AQ487" s="37"/>
    </row>
    <row r="488" spans="43:43" x14ac:dyDescent="0.25">
      <c r="AQ488" s="37"/>
    </row>
    <row r="489" spans="43:43" x14ac:dyDescent="0.25">
      <c r="AQ489" s="37"/>
    </row>
    <row r="490" spans="43:43" x14ac:dyDescent="0.25">
      <c r="AQ490" s="37"/>
    </row>
    <row r="491" spans="43:43" x14ac:dyDescent="0.25">
      <c r="AQ491" s="37"/>
    </row>
    <row r="492" spans="43:43" x14ac:dyDescent="0.25">
      <c r="AQ492" s="37"/>
    </row>
    <row r="493" spans="43:43" x14ac:dyDescent="0.25">
      <c r="AQ493" s="37"/>
    </row>
    <row r="494" spans="43:43" x14ac:dyDescent="0.25">
      <c r="AQ494" s="37"/>
    </row>
    <row r="495" spans="43:43" x14ac:dyDescent="0.25">
      <c r="AQ495" s="37"/>
    </row>
    <row r="496" spans="43:43" x14ac:dyDescent="0.25">
      <c r="AQ496" s="37"/>
    </row>
    <row r="497" spans="43:43" x14ac:dyDescent="0.25">
      <c r="AQ497" s="37"/>
    </row>
    <row r="498" spans="43:43" x14ac:dyDescent="0.25">
      <c r="AQ498" s="37"/>
    </row>
    <row r="499" spans="43:43" x14ac:dyDescent="0.25">
      <c r="AQ499" s="37"/>
    </row>
    <row r="500" spans="43:43" x14ac:dyDescent="0.25">
      <c r="AQ500" s="37"/>
    </row>
    <row r="501" spans="43:43" x14ac:dyDescent="0.25">
      <c r="AQ501" s="37"/>
    </row>
    <row r="502" spans="43:43" x14ac:dyDescent="0.25">
      <c r="AQ502" s="37"/>
    </row>
    <row r="503" spans="43:43" x14ac:dyDescent="0.25">
      <c r="AQ503" s="37"/>
    </row>
    <row r="504" spans="43:43" x14ac:dyDescent="0.25">
      <c r="AQ504" s="37"/>
    </row>
    <row r="505" spans="43:43" x14ac:dyDescent="0.25">
      <c r="AQ505" s="37"/>
    </row>
    <row r="506" spans="43:43" x14ac:dyDescent="0.25">
      <c r="AQ506" s="37"/>
    </row>
    <row r="507" spans="43:43" x14ac:dyDescent="0.25">
      <c r="AQ507" s="37"/>
    </row>
    <row r="508" spans="43:43" x14ac:dyDescent="0.25">
      <c r="AQ508" s="37"/>
    </row>
    <row r="509" spans="43:43" x14ac:dyDescent="0.25">
      <c r="AQ509" s="37"/>
    </row>
    <row r="510" spans="43:43" x14ac:dyDescent="0.25">
      <c r="AQ510" s="37"/>
    </row>
    <row r="511" spans="43:43" x14ac:dyDescent="0.25">
      <c r="AQ511" s="37"/>
    </row>
    <row r="512" spans="43:43" x14ac:dyDescent="0.25">
      <c r="AQ512" s="37"/>
    </row>
    <row r="513" spans="43:43" x14ac:dyDescent="0.25">
      <c r="AQ513" s="37"/>
    </row>
    <row r="514" spans="43:43" x14ac:dyDescent="0.25">
      <c r="AQ514" s="37"/>
    </row>
    <row r="515" spans="43:43" x14ac:dyDescent="0.25">
      <c r="AQ515" s="37"/>
    </row>
    <row r="516" spans="43:43" x14ac:dyDescent="0.25">
      <c r="AQ516" s="37"/>
    </row>
    <row r="517" spans="43:43" x14ac:dyDescent="0.25">
      <c r="AQ517" s="37"/>
    </row>
    <row r="518" spans="43:43" x14ac:dyDescent="0.25">
      <c r="AQ518" s="37"/>
    </row>
    <row r="519" spans="43:43" x14ac:dyDescent="0.25">
      <c r="AQ519" s="37"/>
    </row>
    <row r="520" spans="43:43" x14ac:dyDescent="0.25">
      <c r="AQ520" s="37"/>
    </row>
    <row r="521" spans="43:43" x14ac:dyDescent="0.25">
      <c r="AQ521" s="37"/>
    </row>
    <row r="522" spans="43:43" x14ac:dyDescent="0.25">
      <c r="AQ522" s="37"/>
    </row>
    <row r="523" spans="43:43" x14ac:dyDescent="0.25">
      <c r="AQ523" s="37"/>
    </row>
    <row r="524" spans="43:43" x14ac:dyDescent="0.25">
      <c r="AQ524" s="37"/>
    </row>
    <row r="525" spans="43:43" x14ac:dyDescent="0.25">
      <c r="AQ525" s="37"/>
    </row>
    <row r="526" spans="43:43" x14ac:dyDescent="0.25">
      <c r="AQ526" s="37"/>
    </row>
    <row r="527" spans="43:43" x14ac:dyDescent="0.25">
      <c r="AQ527" s="37"/>
    </row>
    <row r="528" spans="43:43" x14ac:dyDescent="0.25">
      <c r="AQ528" s="37"/>
    </row>
    <row r="529" spans="43:43" x14ac:dyDescent="0.25">
      <c r="AQ529" s="37"/>
    </row>
    <row r="530" spans="43:43" x14ac:dyDescent="0.25">
      <c r="AQ530" s="37"/>
    </row>
    <row r="531" spans="43:43" x14ac:dyDescent="0.25">
      <c r="AQ531" s="37"/>
    </row>
    <row r="532" spans="43:43" x14ac:dyDescent="0.25">
      <c r="AQ532" s="37"/>
    </row>
    <row r="533" spans="43:43" x14ac:dyDescent="0.25">
      <c r="AQ533" s="37"/>
    </row>
    <row r="534" spans="43:43" x14ac:dyDescent="0.25">
      <c r="AQ534" s="37"/>
    </row>
    <row r="535" spans="43:43" x14ac:dyDescent="0.25">
      <c r="AQ535" s="37"/>
    </row>
    <row r="536" spans="43:43" x14ac:dyDescent="0.25">
      <c r="AQ536" s="37"/>
    </row>
    <row r="537" spans="43:43" x14ac:dyDescent="0.25">
      <c r="AQ537" s="37"/>
    </row>
    <row r="538" spans="43:43" x14ac:dyDescent="0.25">
      <c r="AQ538" s="37"/>
    </row>
    <row r="539" spans="43:43" x14ac:dyDescent="0.25">
      <c r="AQ539" s="37"/>
    </row>
    <row r="540" spans="43:43" x14ac:dyDescent="0.25">
      <c r="AQ540" s="37"/>
    </row>
    <row r="541" spans="43:43" x14ac:dyDescent="0.25">
      <c r="AQ541" s="37"/>
    </row>
    <row r="542" spans="43:43" x14ac:dyDescent="0.25">
      <c r="AQ542" s="37"/>
    </row>
    <row r="543" spans="43:43" x14ac:dyDescent="0.25">
      <c r="AQ543" s="37"/>
    </row>
    <row r="544" spans="43:43" x14ac:dyDescent="0.25">
      <c r="AQ544" s="37"/>
    </row>
    <row r="545" spans="43:43" x14ac:dyDescent="0.25">
      <c r="AQ545" s="37"/>
    </row>
    <row r="546" spans="43:43" x14ac:dyDescent="0.25">
      <c r="AQ546" s="37"/>
    </row>
    <row r="547" spans="43:43" x14ac:dyDescent="0.25">
      <c r="AQ547" s="37"/>
    </row>
    <row r="548" spans="43:43" x14ac:dyDescent="0.25">
      <c r="AQ548" s="37"/>
    </row>
    <row r="549" spans="43:43" x14ac:dyDescent="0.25">
      <c r="AQ549" s="37"/>
    </row>
    <row r="550" spans="43:43" x14ac:dyDescent="0.25">
      <c r="AQ550" s="37"/>
    </row>
    <row r="551" spans="43:43" x14ac:dyDescent="0.25">
      <c r="AQ551" s="37"/>
    </row>
    <row r="552" spans="43:43" x14ac:dyDescent="0.25">
      <c r="AQ552" s="37"/>
    </row>
    <row r="553" spans="43:43" x14ac:dyDescent="0.25">
      <c r="AQ553" s="37"/>
    </row>
    <row r="554" spans="43:43" x14ac:dyDescent="0.25">
      <c r="AQ554" s="37"/>
    </row>
    <row r="555" spans="43:43" x14ac:dyDescent="0.25">
      <c r="AQ555" s="37"/>
    </row>
    <row r="556" spans="43:43" x14ac:dyDescent="0.25">
      <c r="AQ556" s="37"/>
    </row>
    <row r="557" spans="43:43" x14ac:dyDescent="0.25">
      <c r="AQ557" s="37"/>
    </row>
    <row r="558" spans="43:43" x14ac:dyDescent="0.25">
      <c r="AQ558" s="37"/>
    </row>
    <row r="559" spans="43:43" x14ac:dyDescent="0.25">
      <c r="AQ559" s="37"/>
    </row>
    <row r="560" spans="43:43" x14ac:dyDescent="0.25">
      <c r="AQ560" s="37"/>
    </row>
    <row r="561" spans="43:43" x14ac:dyDescent="0.25">
      <c r="AQ561" s="37"/>
    </row>
    <row r="562" spans="43:43" x14ac:dyDescent="0.25">
      <c r="AQ562" s="37"/>
    </row>
    <row r="563" spans="43:43" x14ac:dyDescent="0.25">
      <c r="AQ563" s="37"/>
    </row>
    <row r="564" spans="43:43" x14ac:dyDescent="0.25">
      <c r="AQ564" s="37"/>
    </row>
    <row r="565" spans="43:43" x14ac:dyDescent="0.25">
      <c r="AQ565" s="37"/>
    </row>
    <row r="566" spans="43:43" x14ac:dyDescent="0.25">
      <c r="AQ566" s="37"/>
    </row>
    <row r="567" spans="43:43" x14ac:dyDescent="0.25">
      <c r="AQ567" s="37"/>
    </row>
    <row r="568" spans="43:43" x14ac:dyDescent="0.25">
      <c r="AQ568" s="37"/>
    </row>
    <row r="569" spans="43:43" x14ac:dyDescent="0.25">
      <c r="AQ569" s="37"/>
    </row>
    <row r="570" spans="43:43" x14ac:dyDescent="0.25">
      <c r="AQ570" s="37"/>
    </row>
    <row r="571" spans="43:43" x14ac:dyDescent="0.25">
      <c r="AQ571" s="37"/>
    </row>
    <row r="572" spans="43:43" x14ac:dyDescent="0.25">
      <c r="AQ572" s="37"/>
    </row>
    <row r="573" spans="43:43" x14ac:dyDescent="0.25">
      <c r="AQ573" s="37"/>
    </row>
    <row r="574" spans="43:43" x14ac:dyDescent="0.25">
      <c r="AQ574" s="37"/>
    </row>
    <row r="575" spans="43:43" x14ac:dyDescent="0.25">
      <c r="AQ575" s="37"/>
    </row>
    <row r="576" spans="43:43" x14ac:dyDescent="0.25">
      <c r="AQ576" s="37"/>
    </row>
    <row r="577" spans="43:43" x14ac:dyDescent="0.25">
      <c r="AQ577" s="37"/>
    </row>
    <row r="578" spans="43:43" x14ac:dyDescent="0.25">
      <c r="AQ578" s="37"/>
    </row>
    <row r="579" spans="43:43" x14ac:dyDescent="0.25">
      <c r="AQ579" s="37"/>
    </row>
    <row r="580" spans="43:43" x14ac:dyDescent="0.25">
      <c r="AQ580" s="37"/>
    </row>
    <row r="581" spans="43:43" x14ac:dyDescent="0.25">
      <c r="AQ581" s="37"/>
    </row>
    <row r="582" spans="43:43" x14ac:dyDescent="0.25">
      <c r="AQ582" s="37"/>
    </row>
    <row r="583" spans="43:43" x14ac:dyDescent="0.25">
      <c r="AQ583" s="37"/>
    </row>
    <row r="584" spans="43:43" x14ac:dyDescent="0.25">
      <c r="AQ584" s="37"/>
    </row>
    <row r="585" spans="43:43" x14ac:dyDescent="0.25">
      <c r="AQ585" s="37"/>
    </row>
    <row r="586" spans="43:43" x14ac:dyDescent="0.25">
      <c r="AQ586" s="37"/>
    </row>
    <row r="587" spans="43:43" x14ac:dyDescent="0.25">
      <c r="AQ587" s="37"/>
    </row>
    <row r="588" spans="43:43" x14ac:dyDescent="0.25">
      <c r="AQ588" s="37"/>
    </row>
    <row r="589" spans="43:43" x14ac:dyDescent="0.25">
      <c r="AQ589" s="37"/>
    </row>
    <row r="590" spans="43:43" x14ac:dyDescent="0.25">
      <c r="AQ590" s="37"/>
    </row>
    <row r="591" spans="43:43" x14ac:dyDescent="0.25">
      <c r="AQ591" s="37"/>
    </row>
    <row r="592" spans="43:43" x14ac:dyDescent="0.25">
      <c r="AQ592" s="37"/>
    </row>
    <row r="593" spans="43:43" x14ac:dyDescent="0.25">
      <c r="AQ593" s="37"/>
    </row>
    <row r="594" spans="43:43" x14ac:dyDescent="0.25">
      <c r="AQ594" s="37"/>
    </row>
    <row r="595" spans="43:43" x14ac:dyDescent="0.25">
      <c r="AQ595" s="37"/>
    </row>
    <row r="596" spans="43:43" x14ac:dyDescent="0.25">
      <c r="AQ596" s="37"/>
    </row>
    <row r="597" spans="43:43" x14ac:dyDescent="0.25">
      <c r="AQ597" s="37"/>
    </row>
    <row r="598" spans="43:43" x14ac:dyDescent="0.25">
      <c r="AQ598" s="37"/>
    </row>
    <row r="599" spans="43:43" x14ac:dyDescent="0.25">
      <c r="AQ599" s="37"/>
    </row>
    <row r="600" spans="43:43" x14ac:dyDescent="0.25">
      <c r="AQ600" s="37"/>
    </row>
    <row r="601" spans="43:43" x14ac:dyDescent="0.25">
      <c r="AQ601" s="37"/>
    </row>
    <row r="602" spans="43:43" x14ac:dyDescent="0.25">
      <c r="AQ602" s="37"/>
    </row>
    <row r="603" spans="43:43" x14ac:dyDescent="0.25">
      <c r="AQ603" s="37"/>
    </row>
    <row r="604" spans="43:43" x14ac:dyDescent="0.25">
      <c r="AQ604" s="37"/>
    </row>
    <row r="605" spans="43:43" x14ac:dyDescent="0.25">
      <c r="AQ605" s="37"/>
    </row>
    <row r="606" spans="43:43" x14ac:dyDescent="0.25">
      <c r="AQ606" s="37"/>
    </row>
    <row r="607" spans="43:43" x14ac:dyDescent="0.25">
      <c r="AQ607" s="37"/>
    </row>
    <row r="608" spans="43:43" x14ac:dyDescent="0.25">
      <c r="AQ608" s="37"/>
    </row>
    <row r="609" spans="43:43" x14ac:dyDescent="0.25">
      <c r="AQ609" s="37"/>
    </row>
    <row r="610" spans="43:43" x14ac:dyDescent="0.25">
      <c r="AQ610" s="37"/>
    </row>
    <row r="611" spans="43:43" x14ac:dyDescent="0.25">
      <c r="AQ611" s="37"/>
    </row>
    <row r="612" spans="43:43" x14ac:dyDescent="0.25">
      <c r="AQ612" s="37"/>
    </row>
    <row r="613" spans="43:43" x14ac:dyDescent="0.25">
      <c r="AQ613" s="37"/>
    </row>
    <row r="614" spans="43:43" x14ac:dyDescent="0.25">
      <c r="AQ614" s="37"/>
    </row>
    <row r="615" spans="43:43" x14ac:dyDescent="0.25">
      <c r="AQ615" s="37"/>
    </row>
    <row r="616" spans="43:43" x14ac:dyDescent="0.25">
      <c r="AQ616" s="37"/>
    </row>
    <row r="617" spans="43:43" x14ac:dyDescent="0.25">
      <c r="AQ617" s="37"/>
    </row>
    <row r="618" spans="43:43" x14ac:dyDescent="0.25">
      <c r="AQ618" s="37"/>
    </row>
    <row r="619" spans="43:43" x14ac:dyDescent="0.25">
      <c r="AQ619" s="37"/>
    </row>
    <row r="620" spans="43:43" x14ac:dyDescent="0.25">
      <c r="AQ620" s="37"/>
    </row>
    <row r="621" spans="43:43" x14ac:dyDescent="0.25">
      <c r="AQ621" s="37"/>
    </row>
    <row r="622" spans="43:43" x14ac:dyDescent="0.25">
      <c r="AQ622" s="37"/>
    </row>
    <row r="623" spans="43:43" x14ac:dyDescent="0.25">
      <c r="AQ623" s="37"/>
    </row>
    <row r="624" spans="43:43" x14ac:dyDescent="0.25">
      <c r="AQ624" s="37"/>
    </row>
    <row r="625" spans="43:43" x14ac:dyDescent="0.25">
      <c r="AQ625" s="37"/>
    </row>
    <row r="626" spans="43:43" x14ac:dyDescent="0.25">
      <c r="AQ626" s="37"/>
    </row>
    <row r="627" spans="43:43" x14ac:dyDescent="0.25">
      <c r="AQ627" s="37"/>
    </row>
    <row r="628" spans="43:43" x14ac:dyDescent="0.25">
      <c r="AQ628" s="37"/>
    </row>
    <row r="629" spans="43:43" x14ac:dyDescent="0.25">
      <c r="AQ629" s="37"/>
    </row>
    <row r="630" spans="43:43" x14ac:dyDescent="0.25">
      <c r="AQ630" s="37"/>
    </row>
    <row r="631" spans="43:43" x14ac:dyDescent="0.25">
      <c r="AQ631" s="37"/>
    </row>
    <row r="632" spans="43:43" x14ac:dyDescent="0.25">
      <c r="AQ632" s="37"/>
    </row>
    <row r="633" spans="43:43" x14ac:dyDescent="0.25">
      <c r="AQ633" s="37"/>
    </row>
    <row r="634" spans="43:43" x14ac:dyDescent="0.25">
      <c r="AQ634" s="37"/>
    </row>
    <row r="635" spans="43:43" x14ac:dyDescent="0.25">
      <c r="AQ635" s="37"/>
    </row>
    <row r="636" spans="43:43" x14ac:dyDescent="0.25">
      <c r="AQ636" s="37"/>
    </row>
    <row r="637" spans="43:43" x14ac:dyDescent="0.25">
      <c r="AQ637" s="37"/>
    </row>
    <row r="638" spans="43:43" x14ac:dyDescent="0.25">
      <c r="AQ638" s="37"/>
    </row>
    <row r="639" spans="43:43" x14ac:dyDescent="0.25">
      <c r="AQ639" s="37"/>
    </row>
    <row r="640" spans="43:43" x14ac:dyDescent="0.25">
      <c r="AQ640" s="37"/>
    </row>
    <row r="641" spans="43:43" x14ac:dyDescent="0.25">
      <c r="AQ641" s="37"/>
    </row>
    <row r="642" spans="43:43" x14ac:dyDescent="0.25">
      <c r="AQ642" s="37"/>
    </row>
    <row r="643" spans="43:43" x14ac:dyDescent="0.25">
      <c r="AQ643" s="37"/>
    </row>
    <row r="644" spans="43:43" x14ac:dyDescent="0.25">
      <c r="AQ644" s="37"/>
    </row>
    <row r="645" spans="43:43" x14ac:dyDescent="0.25">
      <c r="AQ645" s="37"/>
    </row>
    <row r="646" spans="43:43" x14ac:dyDescent="0.25">
      <c r="AQ646" s="37"/>
    </row>
    <row r="647" spans="43:43" x14ac:dyDescent="0.25">
      <c r="AQ647" s="37"/>
    </row>
    <row r="648" spans="43:43" x14ac:dyDescent="0.25">
      <c r="AQ648" s="37"/>
    </row>
    <row r="649" spans="43:43" x14ac:dyDescent="0.25">
      <c r="AQ649" s="37"/>
    </row>
    <row r="650" spans="43:43" x14ac:dyDescent="0.25">
      <c r="AQ650" s="37"/>
    </row>
    <row r="651" spans="43:43" x14ac:dyDescent="0.25">
      <c r="AQ651" s="37"/>
    </row>
    <row r="652" spans="43:43" x14ac:dyDescent="0.25">
      <c r="AQ652" s="37"/>
    </row>
    <row r="653" spans="43:43" x14ac:dyDescent="0.25">
      <c r="AQ653" s="37"/>
    </row>
    <row r="654" spans="43:43" x14ac:dyDescent="0.25">
      <c r="AQ654" s="37"/>
    </row>
    <row r="655" spans="43:43" x14ac:dyDescent="0.25">
      <c r="AQ655" s="37"/>
    </row>
    <row r="656" spans="43:43" x14ac:dyDescent="0.25">
      <c r="AQ656" s="37"/>
    </row>
    <row r="657" spans="43:43" x14ac:dyDescent="0.25">
      <c r="AQ657" s="37"/>
    </row>
    <row r="658" spans="43:43" x14ac:dyDescent="0.25">
      <c r="AQ658" s="37"/>
    </row>
    <row r="659" spans="43:43" x14ac:dyDescent="0.25">
      <c r="AQ659" s="37"/>
    </row>
    <row r="660" spans="43:43" x14ac:dyDescent="0.25">
      <c r="AQ660" s="37"/>
    </row>
    <row r="661" spans="43:43" x14ac:dyDescent="0.25">
      <c r="AQ661" s="37"/>
    </row>
    <row r="662" spans="43:43" x14ac:dyDescent="0.25">
      <c r="AQ662" s="37"/>
    </row>
    <row r="663" spans="43:43" x14ac:dyDescent="0.25">
      <c r="AQ663" s="37"/>
    </row>
    <row r="664" spans="43:43" x14ac:dyDescent="0.25">
      <c r="AQ664" s="37"/>
    </row>
    <row r="665" spans="43:43" x14ac:dyDescent="0.25">
      <c r="AQ665" s="37"/>
    </row>
    <row r="666" spans="43:43" x14ac:dyDescent="0.25">
      <c r="AQ666" s="37"/>
    </row>
    <row r="667" spans="43:43" x14ac:dyDescent="0.25">
      <c r="AQ667" s="37"/>
    </row>
    <row r="668" spans="43:43" x14ac:dyDescent="0.25">
      <c r="AQ668" s="37"/>
    </row>
    <row r="669" spans="43:43" x14ac:dyDescent="0.25">
      <c r="AQ669" s="37"/>
    </row>
    <row r="670" spans="43:43" x14ac:dyDescent="0.25">
      <c r="AQ670" s="37"/>
    </row>
    <row r="671" spans="43:43" x14ac:dyDescent="0.25">
      <c r="AQ671" s="37"/>
    </row>
    <row r="672" spans="43:43" x14ac:dyDescent="0.25">
      <c r="AQ672" s="37"/>
    </row>
    <row r="673" spans="43:43" x14ac:dyDescent="0.25">
      <c r="AQ673" s="37"/>
    </row>
    <row r="674" spans="43:43" x14ac:dyDescent="0.25">
      <c r="AQ674" s="37"/>
    </row>
    <row r="675" spans="43:43" x14ac:dyDescent="0.25">
      <c r="AQ675" s="37"/>
    </row>
    <row r="676" spans="43:43" x14ac:dyDescent="0.25">
      <c r="AQ676" s="37"/>
    </row>
    <row r="677" spans="43:43" x14ac:dyDescent="0.25">
      <c r="AQ677" s="37"/>
    </row>
    <row r="678" spans="43:43" x14ac:dyDescent="0.25">
      <c r="AQ678" s="37"/>
    </row>
    <row r="679" spans="43:43" x14ac:dyDescent="0.25">
      <c r="AQ679" s="37"/>
    </row>
    <row r="680" spans="43:43" x14ac:dyDescent="0.25">
      <c r="AQ680" s="37"/>
    </row>
    <row r="681" spans="43:43" x14ac:dyDescent="0.25">
      <c r="AQ681" s="37"/>
    </row>
    <row r="682" spans="43:43" x14ac:dyDescent="0.25">
      <c r="AQ682" s="37"/>
    </row>
    <row r="683" spans="43:43" x14ac:dyDescent="0.25">
      <c r="AQ683" s="37"/>
    </row>
    <row r="684" spans="43:43" x14ac:dyDescent="0.25">
      <c r="AQ684" s="37"/>
    </row>
    <row r="685" spans="43:43" x14ac:dyDescent="0.25">
      <c r="AQ685" s="37"/>
    </row>
    <row r="686" spans="43:43" x14ac:dyDescent="0.25">
      <c r="AQ686" s="37"/>
    </row>
    <row r="687" spans="43:43" x14ac:dyDescent="0.25">
      <c r="AQ687" s="37"/>
    </row>
    <row r="688" spans="43:43" x14ac:dyDescent="0.25">
      <c r="AQ688" s="37"/>
    </row>
    <row r="689" spans="43:43" x14ac:dyDescent="0.25">
      <c r="AQ689" s="37"/>
    </row>
    <row r="690" spans="43:43" x14ac:dyDescent="0.25">
      <c r="AQ690" s="37"/>
    </row>
    <row r="691" spans="43:43" x14ac:dyDescent="0.25">
      <c r="AQ691" s="37"/>
    </row>
    <row r="692" spans="43:43" x14ac:dyDescent="0.25">
      <c r="AQ692" s="37"/>
    </row>
    <row r="693" spans="43:43" x14ac:dyDescent="0.25">
      <c r="AQ693" s="37"/>
    </row>
    <row r="694" spans="43:43" x14ac:dyDescent="0.25">
      <c r="AQ694" s="37"/>
    </row>
    <row r="695" spans="43:43" x14ac:dyDescent="0.25">
      <c r="AQ695" s="37"/>
    </row>
    <row r="696" spans="43:43" x14ac:dyDescent="0.25">
      <c r="AQ696" s="37"/>
    </row>
    <row r="697" spans="43:43" x14ac:dyDescent="0.25">
      <c r="AQ697" s="37"/>
    </row>
    <row r="698" spans="43:43" x14ac:dyDescent="0.25">
      <c r="AQ698" s="37"/>
    </row>
    <row r="699" spans="43:43" x14ac:dyDescent="0.25">
      <c r="AQ699" s="37"/>
    </row>
    <row r="700" spans="43:43" x14ac:dyDescent="0.25">
      <c r="AQ700" s="37"/>
    </row>
    <row r="701" spans="43:43" x14ac:dyDescent="0.25">
      <c r="AQ701" s="37"/>
    </row>
    <row r="702" spans="43:43" x14ac:dyDescent="0.25">
      <c r="AQ702" s="37"/>
    </row>
    <row r="703" spans="43:43" x14ac:dyDescent="0.25">
      <c r="AQ703" s="37"/>
    </row>
    <row r="704" spans="43:43" x14ac:dyDescent="0.25">
      <c r="AQ704" s="37"/>
    </row>
    <row r="705" spans="43:43" x14ac:dyDescent="0.25">
      <c r="AQ705" s="37"/>
    </row>
    <row r="706" spans="43:43" x14ac:dyDescent="0.25">
      <c r="AQ706" s="37"/>
    </row>
    <row r="707" spans="43:43" x14ac:dyDescent="0.25">
      <c r="AQ707" s="37"/>
    </row>
    <row r="708" spans="43:43" x14ac:dyDescent="0.25">
      <c r="AQ708" s="37"/>
    </row>
    <row r="709" spans="43:43" x14ac:dyDescent="0.25">
      <c r="AQ709" s="37"/>
    </row>
    <row r="710" spans="43:43" x14ac:dyDescent="0.25">
      <c r="AQ710" s="37"/>
    </row>
    <row r="711" spans="43:43" x14ac:dyDescent="0.25">
      <c r="AQ711" s="37"/>
    </row>
    <row r="712" spans="43:43" x14ac:dyDescent="0.25">
      <c r="AQ712" s="37"/>
    </row>
    <row r="713" spans="43:43" x14ac:dyDescent="0.25">
      <c r="AQ713" s="37"/>
    </row>
    <row r="714" spans="43:43" x14ac:dyDescent="0.25">
      <c r="AQ714" s="37"/>
    </row>
    <row r="715" spans="43:43" x14ac:dyDescent="0.25">
      <c r="AQ715" s="37"/>
    </row>
    <row r="716" spans="43:43" x14ac:dyDescent="0.25">
      <c r="AQ716" s="37"/>
    </row>
    <row r="717" spans="43:43" x14ac:dyDescent="0.25">
      <c r="AQ717" s="37"/>
    </row>
    <row r="718" spans="43:43" x14ac:dyDescent="0.25">
      <c r="AQ718" s="37"/>
    </row>
    <row r="719" spans="43:43" x14ac:dyDescent="0.25">
      <c r="AQ719" s="37"/>
    </row>
    <row r="720" spans="43:43" x14ac:dyDescent="0.25">
      <c r="AQ720" s="37"/>
    </row>
    <row r="721" spans="43:43" x14ac:dyDescent="0.25">
      <c r="AQ721" s="37"/>
    </row>
    <row r="722" spans="43:43" x14ac:dyDescent="0.25">
      <c r="AQ722" s="37"/>
    </row>
    <row r="723" spans="43:43" x14ac:dyDescent="0.25">
      <c r="AQ723" s="37"/>
    </row>
    <row r="724" spans="43:43" x14ac:dyDescent="0.25">
      <c r="AQ724" s="37"/>
    </row>
    <row r="725" spans="43:43" x14ac:dyDescent="0.25">
      <c r="AQ725" s="37"/>
    </row>
    <row r="726" spans="43:43" x14ac:dyDescent="0.25">
      <c r="AQ726" s="37"/>
    </row>
    <row r="727" spans="43:43" x14ac:dyDescent="0.25">
      <c r="AQ727" s="37"/>
    </row>
    <row r="728" spans="43:43" x14ac:dyDescent="0.25">
      <c r="AQ728" s="37"/>
    </row>
    <row r="729" spans="43:43" x14ac:dyDescent="0.25">
      <c r="AQ729" s="37"/>
    </row>
    <row r="730" spans="43:43" x14ac:dyDescent="0.25">
      <c r="AQ730" s="37"/>
    </row>
    <row r="731" spans="43:43" x14ac:dyDescent="0.25">
      <c r="AQ731" s="37"/>
    </row>
    <row r="732" spans="43:43" x14ac:dyDescent="0.25">
      <c r="AQ732" s="37"/>
    </row>
    <row r="733" spans="43:43" x14ac:dyDescent="0.25">
      <c r="AQ733" s="37"/>
    </row>
    <row r="734" spans="43:43" x14ac:dyDescent="0.25">
      <c r="AQ734" s="37"/>
    </row>
    <row r="735" spans="43:43" x14ac:dyDescent="0.25">
      <c r="AQ735" s="37"/>
    </row>
    <row r="736" spans="43:43" x14ac:dyDescent="0.25">
      <c r="AQ736" s="37"/>
    </row>
    <row r="737" spans="43:43" x14ac:dyDescent="0.25">
      <c r="AQ737" s="37"/>
    </row>
    <row r="738" spans="43:43" x14ac:dyDescent="0.25">
      <c r="AQ738" s="37"/>
    </row>
    <row r="739" spans="43:43" x14ac:dyDescent="0.25">
      <c r="AQ739" s="37"/>
    </row>
    <row r="740" spans="43:43" x14ac:dyDescent="0.25">
      <c r="AQ740" s="37"/>
    </row>
    <row r="741" spans="43:43" x14ac:dyDescent="0.25">
      <c r="AQ741" s="37"/>
    </row>
    <row r="742" spans="43:43" x14ac:dyDescent="0.25">
      <c r="AQ742" s="37"/>
    </row>
    <row r="743" spans="43:43" x14ac:dyDescent="0.25">
      <c r="AQ743" s="37"/>
    </row>
    <row r="744" spans="43:43" x14ac:dyDescent="0.25">
      <c r="AQ744" s="37"/>
    </row>
    <row r="745" spans="43:43" x14ac:dyDescent="0.25">
      <c r="AQ745" s="37"/>
    </row>
    <row r="746" spans="43:43" x14ac:dyDescent="0.25">
      <c r="AQ746" s="37"/>
    </row>
    <row r="747" spans="43:43" x14ac:dyDescent="0.25">
      <c r="AQ747" s="37"/>
    </row>
    <row r="748" spans="43:43" x14ac:dyDescent="0.25">
      <c r="AQ748" s="37"/>
    </row>
    <row r="749" spans="43:43" x14ac:dyDescent="0.25">
      <c r="AQ749" s="37"/>
    </row>
    <row r="750" spans="43:43" x14ac:dyDescent="0.25">
      <c r="AQ750" s="37"/>
    </row>
    <row r="751" spans="43:43" x14ac:dyDescent="0.25">
      <c r="AQ751" s="37"/>
    </row>
    <row r="752" spans="43:43" x14ac:dyDescent="0.25">
      <c r="AQ752" s="37"/>
    </row>
    <row r="753" spans="43:43" x14ac:dyDescent="0.25">
      <c r="AQ753" s="37"/>
    </row>
    <row r="754" spans="43:43" x14ac:dyDescent="0.25">
      <c r="AQ754" s="37"/>
    </row>
    <row r="755" spans="43:43" x14ac:dyDescent="0.25">
      <c r="AQ755" s="37"/>
    </row>
    <row r="756" spans="43:43" x14ac:dyDescent="0.25">
      <c r="AQ756" s="37"/>
    </row>
    <row r="757" spans="43:43" x14ac:dyDescent="0.25">
      <c r="AQ757" s="37"/>
    </row>
    <row r="758" spans="43:43" x14ac:dyDescent="0.25">
      <c r="AQ758" s="37"/>
    </row>
    <row r="759" spans="43:43" x14ac:dyDescent="0.25">
      <c r="AQ759" s="37"/>
    </row>
    <row r="760" spans="43:43" x14ac:dyDescent="0.25">
      <c r="AQ760" s="37"/>
    </row>
    <row r="761" spans="43:43" x14ac:dyDescent="0.25">
      <c r="AQ761" s="37"/>
    </row>
    <row r="762" spans="43:43" x14ac:dyDescent="0.25">
      <c r="AQ762" s="37"/>
    </row>
    <row r="763" spans="43:43" x14ac:dyDescent="0.25">
      <c r="AQ763" s="37"/>
    </row>
    <row r="764" spans="43:43" x14ac:dyDescent="0.25">
      <c r="AQ764" s="37"/>
    </row>
    <row r="765" spans="43:43" x14ac:dyDescent="0.25">
      <c r="AQ765" s="37"/>
    </row>
    <row r="766" spans="43:43" x14ac:dyDescent="0.25">
      <c r="AQ766" s="37"/>
    </row>
    <row r="767" spans="43:43" x14ac:dyDescent="0.25">
      <c r="AQ767" s="37"/>
    </row>
    <row r="768" spans="43:43" x14ac:dyDescent="0.25">
      <c r="AQ768" s="37"/>
    </row>
    <row r="769" spans="43:43" x14ac:dyDescent="0.25">
      <c r="AQ769" s="37"/>
    </row>
    <row r="770" spans="43:43" x14ac:dyDescent="0.25">
      <c r="AQ770" s="37"/>
    </row>
    <row r="771" spans="43:43" x14ac:dyDescent="0.25">
      <c r="AQ771" s="37"/>
    </row>
    <row r="772" spans="43:43" x14ac:dyDescent="0.25">
      <c r="AQ772" s="37"/>
    </row>
    <row r="773" spans="43:43" x14ac:dyDescent="0.25">
      <c r="AQ773" s="37"/>
    </row>
    <row r="774" spans="43:43" x14ac:dyDescent="0.25">
      <c r="AQ774" s="37"/>
    </row>
    <row r="775" spans="43:43" x14ac:dyDescent="0.25">
      <c r="AQ775" s="37"/>
    </row>
    <row r="776" spans="43:43" x14ac:dyDescent="0.25">
      <c r="AQ776" s="37"/>
    </row>
    <row r="777" spans="43:43" x14ac:dyDescent="0.25">
      <c r="AQ777" s="37"/>
    </row>
    <row r="778" spans="43:43" x14ac:dyDescent="0.25">
      <c r="AQ778" s="37"/>
    </row>
    <row r="779" spans="43:43" x14ac:dyDescent="0.25">
      <c r="AQ779" s="37"/>
    </row>
    <row r="780" spans="43:43" x14ac:dyDescent="0.25">
      <c r="AQ780" s="37"/>
    </row>
    <row r="781" spans="43:43" x14ac:dyDescent="0.25">
      <c r="AQ781" s="37"/>
    </row>
    <row r="782" spans="43:43" x14ac:dyDescent="0.25">
      <c r="AQ782" s="37"/>
    </row>
    <row r="783" spans="43:43" x14ac:dyDescent="0.25">
      <c r="AQ783" s="37"/>
    </row>
    <row r="784" spans="43:43" x14ac:dyDescent="0.25">
      <c r="AQ784" s="37"/>
    </row>
    <row r="785" spans="43:43" x14ac:dyDescent="0.25">
      <c r="AQ785" s="37"/>
    </row>
    <row r="786" spans="43:43" x14ac:dyDescent="0.25">
      <c r="AQ786" s="37"/>
    </row>
    <row r="787" spans="43:43" x14ac:dyDescent="0.25">
      <c r="AQ787" s="37"/>
    </row>
    <row r="788" spans="43:43" x14ac:dyDescent="0.25">
      <c r="AQ788" s="37"/>
    </row>
    <row r="789" spans="43:43" x14ac:dyDescent="0.25">
      <c r="AQ789" s="37"/>
    </row>
    <row r="790" spans="43:43" x14ac:dyDescent="0.25">
      <c r="AQ790" s="37"/>
    </row>
    <row r="791" spans="43:43" x14ac:dyDescent="0.25">
      <c r="AQ791" s="37"/>
    </row>
    <row r="792" spans="43:43" x14ac:dyDescent="0.25">
      <c r="AQ792" s="37"/>
    </row>
    <row r="793" spans="43:43" x14ac:dyDescent="0.25">
      <c r="AQ793" s="37"/>
    </row>
    <row r="794" spans="43:43" x14ac:dyDescent="0.25">
      <c r="AQ794" s="37"/>
    </row>
    <row r="795" spans="43:43" x14ac:dyDescent="0.25">
      <c r="AQ795" s="37"/>
    </row>
    <row r="796" spans="43:43" x14ac:dyDescent="0.25">
      <c r="AQ796" s="37"/>
    </row>
    <row r="797" spans="43:43" x14ac:dyDescent="0.25">
      <c r="AQ797" s="37"/>
    </row>
    <row r="798" spans="43:43" x14ac:dyDescent="0.25">
      <c r="AQ798" s="37"/>
    </row>
    <row r="799" spans="43:43" x14ac:dyDescent="0.25">
      <c r="AQ799" s="37"/>
    </row>
    <row r="800" spans="43:43" x14ac:dyDescent="0.25">
      <c r="AQ800" s="37"/>
    </row>
    <row r="801" spans="43:43" x14ac:dyDescent="0.25">
      <c r="AQ801" s="37"/>
    </row>
    <row r="802" spans="43:43" x14ac:dyDescent="0.25">
      <c r="AQ802" s="37"/>
    </row>
    <row r="803" spans="43:43" x14ac:dyDescent="0.25">
      <c r="AQ803" s="37"/>
    </row>
    <row r="804" spans="43:43" x14ac:dyDescent="0.25">
      <c r="AQ804" s="37"/>
    </row>
    <row r="805" spans="43:43" x14ac:dyDescent="0.25">
      <c r="AQ805" s="37"/>
    </row>
    <row r="806" spans="43:43" x14ac:dyDescent="0.25">
      <c r="AQ806" s="37"/>
    </row>
    <row r="807" spans="43:43" x14ac:dyDescent="0.25">
      <c r="AQ807" s="37"/>
    </row>
    <row r="808" spans="43:43" x14ac:dyDescent="0.25">
      <c r="AQ808" s="37"/>
    </row>
    <row r="809" spans="43:43" x14ac:dyDescent="0.25">
      <c r="AQ809" s="37"/>
    </row>
    <row r="810" spans="43:43" x14ac:dyDescent="0.25">
      <c r="AQ810" s="37"/>
    </row>
    <row r="811" spans="43:43" x14ac:dyDescent="0.25">
      <c r="AQ811" s="37"/>
    </row>
    <row r="812" spans="43:43" x14ac:dyDescent="0.25">
      <c r="AQ812" s="37"/>
    </row>
    <row r="813" spans="43:43" x14ac:dyDescent="0.25">
      <c r="AQ813" s="37"/>
    </row>
    <row r="814" spans="43:43" x14ac:dyDescent="0.25">
      <c r="AQ814" s="37"/>
    </row>
    <row r="815" spans="43:43" x14ac:dyDescent="0.25">
      <c r="AQ815" s="37"/>
    </row>
    <row r="816" spans="43:43" x14ac:dyDescent="0.25">
      <c r="AQ816" s="37"/>
    </row>
    <row r="817" spans="43:43" x14ac:dyDescent="0.25">
      <c r="AQ817" s="37"/>
    </row>
    <row r="818" spans="43:43" x14ac:dyDescent="0.25">
      <c r="AQ818" s="37"/>
    </row>
    <row r="819" spans="43:43" x14ac:dyDescent="0.25">
      <c r="AQ819" s="37"/>
    </row>
    <row r="820" spans="43:43" x14ac:dyDescent="0.25">
      <c r="AQ820" s="37"/>
    </row>
    <row r="821" spans="43:43" x14ac:dyDescent="0.25">
      <c r="AQ821" s="37"/>
    </row>
    <row r="822" spans="43:43" x14ac:dyDescent="0.25">
      <c r="AQ822" s="37"/>
    </row>
    <row r="823" spans="43:43" x14ac:dyDescent="0.25">
      <c r="AQ823" s="37"/>
    </row>
    <row r="824" spans="43:43" x14ac:dyDescent="0.25">
      <c r="AQ824" s="37"/>
    </row>
    <row r="825" spans="43:43" x14ac:dyDescent="0.25">
      <c r="AQ825" s="37"/>
    </row>
    <row r="826" spans="43:43" x14ac:dyDescent="0.25">
      <c r="AQ826" s="37"/>
    </row>
    <row r="827" spans="43:43" x14ac:dyDescent="0.25">
      <c r="AQ827" s="37"/>
    </row>
    <row r="828" spans="43:43" x14ac:dyDescent="0.25">
      <c r="AQ828" s="37"/>
    </row>
    <row r="829" spans="43:43" x14ac:dyDescent="0.25">
      <c r="AQ829" s="37"/>
    </row>
    <row r="830" spans="43:43" x14ac:dyDescent="0.25">
      <c r="AQ830" s="37"/>
    </row>
    <row r="831" spans="43:43" x14ac:dyDescent="0.25">
      <c r="AQ831" s="37"/>
    </row>
    <row r="832" spans="43:43" x14ac:dyDescent="0.25">
      <c r="AQ832" s="37"/>
    </row>
    <row r="833" spans="43:43" x14ac:dyDescent="0.25">
      <c r="AQ833" s="37"/>
    </row>
    <row r="834" spans="43:43" x14ac:dyDescent="0.25">
      <c r="AQ834" s="37"/>
    </row>
    <row r="835" spans="43:43" x14ac:dyDescent="0.25">
      <c r="AQ835" s="37"/>
    </row>
    <row r="836" spans="43:43" x14ac:dyDescent="0.25">
      <c r="AQ836" s="37"/>
    </row>
    <row r="837" spans="43:43" x14ac:dyDescent="0.25">
      <c r="AQ837" s="37"/>
    </row>
    <row r="838" spans="43:43" x14ac:dyDescent="0.25">
      <c r="AQ838" s="37"/>
    </row>
    <row r="839" spans="43:43" x14ac:dyDescent="0.25">
      <c r="AQ839" s="37"/>
    </row>
    <row r="840" spans="43:43" x14ac:dyDescent="0.25">
      <c r="AQ840" s="37"/>
    </row>
    <row r="841" spans="43:43" x14ac:dyDescent="0.25">
      <c r="AQ841" s="37"/>
    </row>
    <row r="842" spans="43:43" x14ac:dyDescent="0.25">
      <c r="AQ842" s="37"/>
    </row>
    <row r="843" spans="43:43" x14ac:dyDescent="0.25">
      <c r="AQ843" s="37"/>
    </row>
    <row r="844" spans="43:43" x14ac:dyDescent="0.25">
      <c r="AQ844" s="37"/>
    </row>
    <row r="845" spans="43:43" x14ac:dyDescent="0.25">
      <c r="AQ845" s="37"/>
    </row>
    <row r="846" spans="43:43" x14ac:dyDescent="0.25">
      <c r="AQ846" s="37"/>
    </row>
    <row r="847" spans="43:43" x14ac:dyDescent="0.25">
      <c r="AQ847" s="37"/>
    </row>
    <row r="848" spans="43:43" x14ac:dyDescent="0.25">
      <c r="AQ848" s="37"/>
    </row>
    <row r="849" spans="43:43" x14ac:dyDescent="0.25">
      <c r="AQ849" s="37"/>
    </row>
    <row r="850" spans="43:43" x14ac:dyDescent="0.25">
      <c r="AQ850" s="37"/>
    </row>
    <row r="851" spans="43:43" x14ac:dyDescent="0.25">
      <c r="AQ851" s="37"/>
    </row>
    <row r="852" spans="43:43" x14ac:dyDescent="0.25">
      <c r="AQ852" s="37"/>
    </row>
    <row r="853" spans="43:43" x14ac:dyDescent="0.25">
      <c r="AQ853" s="37"/>
    </row>
    <row r="854" spans="43:43" x14ac:dyDescent="0.25">
      <c r="AQ854" s="37"/>
    </row>
    <row r="855" spans="43:43" x14ac:dyDescent="0.25">
      <c r="AQ855" s="37"/>
    </row>
    <row r="856" spans="43:43" x14ac:dyDescent="0.25">
      <c r="AQ856" s="37"/>
    </row>
    <row r="857" spans="43:43" x14ac:dyDescent="0.25">
      <c r="AQ857" s="37"/>
    </row>
    <row r="858" spans="43:43" x14ac:dyDescent="0.25">
      <c r="AQ858" s="37"/>
    </row>
    <row r="859" spans="43:43" x14ac:dyDescent="0.25">
      <c r="AQ859" s="37"/>
    </row>
    <row r="860" spans="43:43" x14ac:dyDescent="0.25">
      <c r="AQ860" s="37"/>
    </row>
    <row r="861" spans="43:43" x14ac:dyDescent="0.25">
      <c r="AQ861" s="37"/>
    </row>
    <row r="862" spans="43:43" x14ac:dyDescent="0.25">
      <c r="AQ862" s="37"/>
    </row>
    <row r="863" spans="43:43" x14ac:dyDescent="0.25">
      <c r="AQ863" s="37"/>
    </row>
    <row r="864" spans="43:43" x14ac:dyDescent="0.25">
      <c r="AQ864" s="37"/>
    </row>
    <row r="865" spans="43:43" x14ac:dyDescent="0.25">
      <c r="AQ865" s="37"/>
    </row>
    <row r="866" spans="43:43" x14ac:dyDescent="0.25">
      <c r="AQ866" s="37"/>
    </row>
    <row r="867" spans="43:43" x14ac:dyDescent="0.25">
      <c r="AQ867" s="37"/>
    </row>
    <row r="868" spans="43:43" x14ac:dyDescent="0.25">
      <c r="AQ868" s="37"/>
    </row>
    <row r="869" spans="43:43" x14ac:dyDescent="0.25">
      <c r="AQ869" s="37"/>
    </row>
    <row r="870" spans="43:43" x14ac:dyDescent="0.25">
      <c r="AQ870" s="37"/>
    </row>
    <row r="871" spans="43:43" x14ac:dyDescent="0.25">
      <c r="AQ871" s="37"/>
    </row>
    <row r="872" spans="43:43" x14ac:dyDescent="0.25">
      <c r="AQ872" s="37"/>
    </row>
    <row r="873" spans="43:43" x14ac:dyDescent="0.25">
      <c r="AQ873" s="37"/>
    </row>
    <row r="874" spans="43:43" x14ac:dyDescent="0.25">
      <c r="AQ874" s="37"/>
    </row>
    <row r="875" spans="43:43" x14ac:dyDescent="0.25">
      <c r="AQ875" s="37"/>
    </row>
    <row r="876" spans="43:43" x14ac:dyDescent="0.25">
      <c r="AQ876" s="37"/>
    </row>
    <row r="877" spans="43:43" x14ac:dyDescent="0.25">
      <c r="AQ877" s="37"/>
    </row>
    <row r="878" spans="43:43" x14ac:dyDescent="0.25">
      <c r="AQ878" s="37"/>
    </row>
    <row r="879" spans="43:43" x14ac:dyDescent="0.25">
      <c r="AQ879" s="37"/>
    </row>
    <row r="880" spans="43:43" x14ac:dyDescent="0.25">
      <c r="AQ880" s="37"/>
    </row>
    <row r="881" spans="43:43" x14ac:dyDescent="0.25">
      <c r="AQ881" s="37"/>
    </row>
    <row r="882" spans="43:43" x14ac:dyDescent="0.25">
      <c r="AQ882" s="37"/>
    </row>
    <row r="883" spans="43:43" x14ac:dyDescent="0.25">
      <c r="AQ883" s="37"/>
    </row>
    <row r="884" spans="43:43" x14ac:dyDescent="0.25">
      <c r="AQ884" s="37"/>
    </row>
    <row r="885" spans="43:43" x14ac:dyDescent="0.25">
      <c r="AQ885" s="37"/>
    </row>
    <row r="886" spans="43:43" x14ac:dyDescent="0.25">
      <c r="AQ886" s="37"/>
    </row>
    <row r="887" spans="43:43" x14ac:dyDescent="0.25">
      <c r="AQ887" s="37"/>
    </row>
    <row r="888" spans="43:43" x14ac:dyDescent="0.25">
      <c r="AQ888" s="37"/>
    </row>
    <row r="889" spans="43:43" x14ac:dyDescent="0.25">
      <c r="AQ889" s="37"/>
    </row>
    <row r="890" spans="43:43" x14ac:dyDescent="0.25">
      <c r="AQ890" s="37"/>
    </row>
    <row r="891" spans="43:43" x14ac:dyDescent="0.25">
      <c r="AQ891" s="37"/>
    </row>
    <row r="892" spans="43:43" x14ac:dyDescent="0.25">
      <c r="AQ892" s="37"/>
    </row>
    <row r="893" spans="43:43" x14ac:dyDescent="0.25">
      <c r="AQ893" s="37"/>
    </row>
    <row r="894" spans="43:43" x14ac:dyDescent="0.25">
      <c r="AQ894" s="37"/>
    </row>
    <row r="895" spans="43:43" x14ac:dyDescent="0.25">
      <c r="AQ895" s="37"/>
    </row>
    <row r="896" spans="43:43" x14ac:dyDescent="0.25">
      <c r="AQ896" s="37"/>
    </row>
    <row r="897" spans="43:43" x14ac:dyDescent="0.25">
      <c r="AQ897" s="37"/>
    </row>
    <row r="898" spans="43:43" x14ac:dyDescent="0.25">
      <c r="AQ898" s="37"/>
    </row>
    <row r="899" spans="43:43" x14ac:dyDescent="0.25">
      <c r="AQ899" s="37"/>
    </row>
    <row r="900" spans="43:43" x14ac:dyDescent="0.25">
      <c r="AQ900" s="37"/>
    </row>
    <row r="901" spans="43:43" x14ac:dyDescent="0.25">
      <c r="AQ901" s="37"/>
    </row>
    <row r="902" spans="43:43" x14ac:dyDescent="0.25">
      <c r="AQ902" s="37"/>
    </row>
    <row r="903" spans="43:43" x14ac:dyDescent="0.25">
      <c r="AQ903" s="37"/>
    </row>
    <row r="904" spans="43:43" x14ac:dyDescent="0.25">
      <c r="AQ904" s="37"/>
    </row>
    <row r="905" spans="43:43" x14ac:dyDescent="0.25">
      <c r="AQ905" s="37"/>
    </row>
    <row r="906" spans="43:43" x14ac:dyDescent="0.25">
      <c r="AQ906" s="37"/>
    </row>
    <row r="907" spans="43:43" x14ac:dyDescent="0.25">
      <c r="AQ907" s="37"/>
    </row>
    <row r="908" spans="43:43" x14ac:dyDescent="0.25">
      <c r="AQ908" s="37"/>
    </row>
    <row r="909" spans="43:43" x14ac:dyDescent="0.25">
      <c r="AQ909" s="37"/>
    </row>
    <row r="910" spans="43:43" x14ac:dyDescent="0.25">
      <c r="AQ910" s="37"/>
    </row>
    <row r="911" spans="43:43" x14ac:dyDescent="0.25">
      <c r="AQ911" s="37"/>
    </row>
    <row r="912" spans="43:43" x14ac:dyDescent="0.25">
      <c r="AQ912" s="37"/>
    </row>
    <row r="913" spans="43:43" x14ac:dyDescent="0.25">
      <c r="AQ913" s="37"/>
    </row>
    <row r="914" spans="43:43" x14ac:dyDescent="0.25">
      <c r="AQ914" s="37"/>
    </row>
    <row r="915" spans="43:43" x14ac:dyDescent="0.25">
      <c r="AQ915" s="37"/>
    </row>
    <row r="916" spans="43:43" x14ac:dyDescent="0.25">
      <c r="AQ916" s="37"/>
    </row>
    <row r="917" spans="43:43" x14ac:dyDescent="0.25">
      <c r="AQ917" s="37"/>
    </row>
    <row r="918" spans="43:43" x14ac:dyDescent="0.25">
      <c r="AQ918" s="37"/>
    </row>
    <row r="919" spans="43:43" x14ac:dyDescent="0.25">
      <c r="AQ919" s="37"/>
    </row>
    <row r="920" spans="43:43" x14ac:dyDescent="0.25">
      <c r="AQ920" s="37"/>
    </row>
    <row r="921" spans="43:43" x14ac:dyDescent="0.25">
      <c r="AQ921" s="37"/>
    </row>
    <row r="922" spans="43:43" x14ac:dyDescent="0.25">
      <c r="AQ922" s="37"/>
    </row>
    <row r="923" spans="43:43" x14ac:dyDescent="0.25">
      <c r="AQ923" s="37"/>
    </row>
    <row r="924" spans="43:43" x14ac:dyDescent="0.25">
      <c r="AQ924" s="37"/>
    </row>
    <row r="925" spans="43:43" x14ac:dyDescent="0.25">
      <c r="AQ925" s="37"/>
    </row>
    <row r="926" spans="43:43" x14ac:dyDescent="0.25">
      <c r="AQ926" s="37"/>
    </row>
    <row r="927" spans="43:43" x14ac:dyDescent="0.25">
      <c r="AQ927" s="37"/>
    </row>
    <row r="928" spans="43:43" x14ac:dyDescent="0.25">
      <c r="AQ928" s="37"/>
    </row>
    <row r="929" spans="43:43" x14ac:dyDescent="0.25">
      <c r="AQ929" s="37"/>
    </row>
    <row r="930" spans="43:43" x14ac:dyDescent="0.25">
      <c r="AQ930" s="37"/>
    </row>
    <row r="931" spans="43:43" x14ac:dyDescent="0.25">
      <c r="AQ931" s="37"/>
    </row>
    <row r="932" spans="43:43" x14ac:dyDescent="0.25">
      <c r="AQ932" s="37"/>
    </row>
    <row r="933" spans="43:43" x14ac:dyDescent="0.25">
      <c r="AQ933" s="37"/>
    </row>
    <row r="934" spans="43:43" x14ac:dyDescent="0.25">
      <c r="AQ934" s="37"/>
    </row>
    <row r="935" spans="43:43" x14ac:dyDescent="0.25">
      <c r="AQ935" s="37"/>
    </row>
    <row r="936" spans="43:43" x14ac:dyDescent="0.25">
      <c r="AQ936" s="37"/>
    </row>
    <row r="937" spans="43:43" x14ac:dyDescent="0.25">
      <c r="AQ937" s="37"/>
    </row>
    <row r="938" spans="43:43" x14ac:dyDescent="0.25">
      <c r="AQ938" s="37"/>
    </row>
    <row r="939" spans="43:43" x14ac:dyDescent="0.25">
      <c r="AQ939" s="37"/>
    </row>
    <row r="940" spans="43:43" x14ac:dyDescent="0.25">
      <c r="AQ940" s="37"/>
    </row>
    <row r="941" spans="43:43" x14ac:dyDescent="0.25">
      <c r="AQ941" s="37"/>
    </row>
    <row r="942" spans="43:43" x14ac:dyDescent="0.25">
      <c r="AQ942" s="37"/>
    </row>
    <row r="943" spans="43:43" x14ac:dyDescent="0.25">
      <c r="AQ943" s="37"/>
    </row>
    <row r="944" spans="43:43" x14ac:dyDescent="0.25">
      <c r="AQ944" s="37"/>
    </row>
    <row r="945" spans="43:43" x14ac:dyDescent="0.25">
      <c r="AQ945" s="37"/>
    </row>
    <row r="946" spans="43:43" x14ac:dyDescent="0.25">
      <c r="AQ946" s="37"/>
    </row>
    <row r="947" spans="43:43" x14ac:dyDescent="0.25">
      <c r="AQ947" s="37"/>
    </row>
    <row r="948" spans="43:43" x14ac:dyDescent="0.25">
      <c r="AQ948" s="37"/>
    </row>
    <row r="949" spans="43:43" x14ac:dyDescent="0.25">
      <c r="AQ949" s="37"/>
    </row>
    <row r="950" spans="43:43" x14ac:dyDescent="0.25">
      <c r="AQ950" s="37"/>
    </row>
    <row r="951" spans="43:43" x14ac:dyDescent="0.25">
      <c r="AQ951" s="37"/>
    </row>
    <row r="952" spans="43:43" x14ac:dyDescent="0.25">
      <c r="AQ952" s="37"/>
    </row>
    <row r="953" spans="43:43" x14ac:dyDescent="0.25">
      <c r="AQ953" s="37"/>
    </row>
    <row r="954" spans="43:43" x14ac:dyDescent="0.25">
      <c r="AQ954" s="37"/>
    </row>
    <row r="955" spans="43:43" x14ac:dyDescent="0.25">
      <c r="AQ955" s="37"/>
    </row>
    <row r="956" spans="43:43" x14ac:dyDescent="0.25">
      <c r="AQ956" s="37"/>
    </row>
    <row r="957" spans="43:43" x14ac:dyDescent="0.25">
      <c r="AQ957" s="37"/>
    </row>
    <row r="958" spans="43:43" x14ac:dyDescent="0.25">
      <c r="AQ958" s="37"/>
    </row>
    <row r="959" spans="43:43" x14ac:dyDescent="0.25">
      <c r="AQ959" s="37"/>
    </row>
    <row r="960" spans="43:43" x14ac:dyDescent="0.25">
      <c r="AQ960" s="37"/>
    </row>
    <row r="961" spans="43:43" x14ac:dyDescent="0.25">
      <c r="AQ961" s="37"/>
    </row>
    <row r="962" spans="43:43" x14ac:dyDescent="0.25">
      <c r="AQ962" s="37"/>
    </row>
    <row r="963" spans="43:43" x14ac:dyDescent="0.25">
      <c r="AQ963" s="37"/>
    </row>
    <row r="964" spans="43:43" x14ac:dyDescent="0.25">
      <c r="AQ964" s="37"/>
    </row>
    <row r="965" spans="43:43" x14ac:dyDescent="0.25">
      <c r="AQ965" s="37"/>
    </row>
    <row r="966" spans="43:43" x14ac:dyDescent="0.25">
      <c r="AQ966" s="37"/>
    </row>
    <row r="967" spans="43:43" x14ac:dyDescent="0.25">
      <c r="AQ967" s="37"/>
    </row>
    <row r="968" spans="43:43" x14ac:dyDescent="0.25">
      <c r="AQ968" s="37"/>
    </row>
    <row r="969" spans="43:43" x14ac:dyDescent="0.25">
      <c r="AQ969" s="37"/>
    </row>
    <row r="970" spans="43:43" x14ac:dyDescent="0.25">
      <c r="AQ970" s="37"/>
    </row>
    <row r="971" spans="43:43" x14ac:dyDescent="0.25">
      <c r="AQ971" s="37"/>
    </row>
    <row r="972" spans="43:43" x14ac:dyDescent="0.25">
      <c r="AQ972" s="37"/>
    </row>
    <row r="973" spans="43:43" x14ac:dyDescent="0.25">
      <c r="AQ973" s="37"/>
    </row>
    <row r="974" spans="43:43" x14ac:dyDescent="0.25">
      <c r="AQ974" s="37"/>
    </row>
    <row r="975" spans="43:43" x14ac:dyDescent="0.25">
      <c r="AQ975" s="37"/>
    </row>
    <row r="976" spans="43:43" x14ac:dyDescent="0.25">
      <c r="AQ976" s="37"/>
    </row>
    <row r="977" spans="43:43" x14ac:dyDescent="0.25">
      <c r="AQ977" s="37"/>
    </row>
    <row r="978" spans="43:43" x14ac:dyDescent="0.25">
      <c r="AQ978" s="37"/>
    </row>
    <row r="979" spans="43:43" x14ac:dyDescent="0.25">
      <c r="AQ979" s="37"/>
    </row>
    <row r="980" spans="43:43" x14ac:dyDescent="0.25">
      <c r="AQ980" s="37"/>
    </row>
    <row r="981" spans="43:43" x14ac:dyDescent="0.25">
      <c r="AQ981" s="37"/>
    </row>
    <row r="982" spans="43:43" x14ac:dyDescent="0.25">
      <c r="AQ982" s="37"/>
    </row>
    <row r="983" spans="43:43" x14ac:dyDescent="0.25">
      <c r="AQ983" s="37"/>
    </row>
    <row r="984" spans="43:43" x14ac:dyDescent="0.25">
      <c r="AQ984" s="37"/>
    </row>
    <row r="985" spans="43:43" x14ac:dyDescent="0.25">
      <c r="AQ985" s="37"/>
    </row>
    <row r="986" spans="43:43" x14ac:dyDescent="0.25">
      <c r="AQ986" s="37"/>
    </row>
    <row r="987" spans="43:43" x14ac:dyDescent="0.25">
      <c r="AQ987" s="37"/>
    </row>
    <row r="988" spans="43:43" x14ac:dyDescent="0.25">
      <c r="AQ988" s="37"/>
    </row>
    <row r="989" spans="43:43" x14ac:dyDescent="0.25">
      <c r="AQ989" s="37"/>
    </row>
    <row r="990" spans="43:43" x14ac:dyDescent="0.25">
      <c r="AQ990" s="37"/>
    </row>
    <row r="991" spans="43:43" x14ac:dyDescent="0.25">
      <c r="AQ991" s="37"/>
    </row>
    <row r="992" spans="43:43" x14ac:dyDescent="0.25">
      <c r="AQ992" s="37"/>
    </row>
    <row r="993" spans="43:43" x14ac:dyDescent="0.25">
      <c r="AQ993" s="37"/>
    </row>
    <row r="994" spans="43:43" x14ac:dyDescent="0.25">
      <c r="AQ994" s="37"/>
    </row>
    <row r="995" spans="43:43" x14ac:dyDescent="0.25">
      <c r="AQ995" s="37"/>
    </row>
    <row r="996" spans="43:43" x14ac:dyDescent="0.25">
      <c r="AQ996" s="37"/>
    </row>
    <row r="997" spans="43:43" x14ac:dyDescent="0.25">
      <c r="AQ997" s="37"/>
    </row>
    <row r="998" spans="43:43" x14ac:dyDescent="0.25">
      <c r="AQ998" s="37"/>
    </row>
    <row r="999" spans="43:43" x14ac:dyDescent="0.25">
      <c r="AQ999" s="37"/>
    </row>
    <row r="1000" spans="43:43" x14ac:dyDescent="0.25">
      <c r="AQ1000" s="37"/>
    </row>
    <row r="1001" spans="43:43" x14ac:dyDescent="0.25">
      <c r="AQ1001" s="37"/>
    </row>
    <row r="1002" spans="43:43" x14ac:dyDescent="0.25">
      <c r="AQ1002" s="37"/>
    </row>
    <row r="1003" spans="43:43" x14ac:dyDescent="0.25">
      <c r="AQ1003" s="37"/>
    </row>
    <row r="1004" spans="43:43" x14ac:dyDescent="0.25">
      <c r="AQ1004" s="37"/>
    </row>
    <row r="1005" spans="43:43" x14ac:dyDescent="0.25">
      <c r="AQ1005" s="37"/>
    </row>
    <row r="1006" spans="43:43" x14ac:dyDescent="0.25">
      <c r="AQ1006" s="37"/>
    </row>
    <row r="1007" spans="43:43" x14ac:dyDescent="0.25">
      <c r="AQ1007" s="37"/>
    </row>
    <row r="1008" spans="43:43" x14ac:dyDescent="0.25">
      <c r="AQ1008" s="37"/>
    </row>
    <row r="1009" spans="43:43" x14ac:dyDescent="0.25">
      <c r="AQ1009" s="37"/>
    </row>
    <row r="1010" spans="43:43" x14ac:dyDescent="0.25">
      <c r="AQ1010" s="37"/>
    </row>
    <row r="1011" spans="43:43" x14ac:dyDescent="0.25">
      <c r="AQ1011" s="37"/>
    </row>
    <row r="1012" spans="43:43" x14ac:dyDescent="0.25">
      <c r="AQ1012" s="37"/>
    </row>
    <row r="1013" spans="43:43" x14ac:dyDescent="0.25">
      <c r="AQ1013" s="37"/>
    </row>
    <row r="1014" spans="43:43" x14ac:dyDescent="0.25">
      <c r="AQ1014" s="37"/>
    </row>
    <row r="1015" spans="43:43" x14ac:dyDescent="0.25">
      <c r="AQ1015" s="37"/>
    </row>
    <row r="1016" spans="43:43" x14ac:dyDescent="0.25">
      <c r="AQ1016" s="37"/>
    </row>
    <row r="1017" spans="43:43" x14ac:dyDescent="0.25">
      <c r="AQ1017" s="37"/>
    </row>
    <row r="1018" spans="43:43" x14ac:dyDescent="0.25">
      <c r="AQ1018" s="37"/>
    </row>
    <row r="1019" spans="43:43" x14ac:dyDescent="0.25">
      <c r="AQ1019" s="37"/>
    </row>
    <row r="1020" spans="43:43" x14ac:dyDescent="0.25">
      <c r="AQ1020" s="37"/>
    </row>
    <row r="1021" spans="43:43" x14ac:dyDescent="0.25">
      <c r="AQ1021" s="37"/>
    </row>
    <row r="1022" spans="43:43" x14ac:dyDescent="0.25">
      <c r="AQ1022" s="37"/>
    </row>
    <row r="1023" spans="43:43" x14ac:dyDescent="0.25">
      <c r="AQ1023" s="37"/>
    </row>
    <row r="1024" spans="43:43" x14ac:dyDescent="0.25">
      <c r="AQ1024" s="37"/>
    </row>
    <row r="1025" spans="43:43" x14ac:dyDescent="0.25">
      <c r="AQ1025" s="37"/>
    </row>
    <row r="1026" spans="43:43" x14ac:dyDescent="0.25">
      <c r="AQ1026" s="37"/>
    </row>
    <row r="1027" spans="43:43" x14ac:dyDescent="0.25">
      <c r="AQ1027" s="37"/>
    </row>
    <row r="1028" spans="43:43" x14ac:dyDescent="0.25">
      <c r="AQ1028" s="37"/>
    </row>
    <row r="1029" spans="43:43" x14ac:dyDescent="0.25">
      <c r="AQ1029" s="37"/>
    </row>
    <row r="1030" spans="43:43" x14ac:dyDescent="0.25">
      <c r="AQ1030" s="37"/>
    </row>
    <row r="1031" spans="43:43" x14ac:dyDescent="0.25">
      <c r="AQ1031" s="37"/>
    </row>
    <row r="1032" spans="43:43" x14ac:dyDescent="0.25">
      <c r="AQ1032" s="37"/>
    </row>
    <row r="1033" spans="43:43" x14ac:dyDescent="0.25">
      <c r="AQ1033" s="37"/>
    </row>
    <row r="1034" spans="43:43" x14ac:dyDescent="0.25">
      <c r="AQ1034" s="37"/>
    </row>
    <row r="1035" spans="43:43" x14ac:dyDescent="0.25">
      <c r="AQ1035" s="37"/>
    </row>
    <row r="1036" spans="43:43" x14ac:dyDescent="0.25">
      <c r="AQ1036" s="37"/>
    </row>
    <row r="1037" spans="43:43" x14ac:dyDescent="0.25">
      <c r="AQ1037" s="37"/>
    </row>
    <row r="1038" spans="43:43" x14ac:dyDescent="0.25">
      <c r="AQ1038" s="37"/>
    </row>
    <row r="1039" spans="43:43" x14ac:dyDescent="0.25">
      <c r="AQ1039" s="37"/>
    </row>
    <row r="1040" spans="43:43" x14ac:dyDescent="0.25">
      <c r="AQ1040" s="37"/>
    </row>
    <row r="1041" spans="43:43" x14ac:dyDescent="0.25">
      <c r="AQ1041" s="37"/>
    </row>
    <row r="1042" spans="43:43" x14ac:dyDescent="0.25">
      <c r="AQ1042" s="37"/>
    </row>
    <row r="1043" spans="43:43" x14ac:dyDescent="0.25">
      <c r="AQ1043" s="37"/>
    </row>
    <row r="1044" spans="43:43" x14ac:dyDescent="0.25">
      <c r="AQ1044" s="37"/>
    </row>
    <row r="1045" spans="43:43" x14ac:dyDescent="0.25">
      <c r="AQ1045" s="37"/>
    </row>
    <row r="1046" spans="43:43" x14ac:dyDescent="0.25">
      <c r="AQ1046" s="37"/>
    </row>
    <row r="1047" spans="43:43" x14ac:dyDescent="0.25">
      <c r="AQ1047" s="37"/>
    </row>
    <row r="1048" spans="43:43" x14ac:dyDescent="0.25">
      <c r="AQ1048" s="37"/>
    </row>
    <row r="1049" spans="43:43" x14ac:dyDescent="0.25">
      <c r="AQ1049" s="37"/>
    </row>
    <row r="1050" spans="43:43" x14ac:dyDescent="0.25">
      <c r="AQ1050" s="37"/>
    </row>
    <row r="1051" spans="43:43" x14ac:dyDescent="0.25">
      <c r="AQ1051" s="37"/>
    </row>
    <row r="1052" spans="43:43" x14ac:dyDescent="0.25">
      <c r="AQ1052" s="37"/>
    </row>
    <row r="1053" spans="43:43" x14ac:dyDescent="0.25">
      <c r="AQ1053" s="37"/>
    </row>
    <row r="1054" spans="43:43" x14ac:dyDescent="0.25">
      <c r="AQ1054" s="37"/>
    </row>
    <row r="1055" spans="43:43" x14ac:dyDescent="0.25">
      <c r="AQ1055" s="37"/>
    </row>
    <row r="1056" spans="43:43" x14ac:dyDescent="0.25">
      <c r="AQ1056" s="37"/>
    </row>
    <row r="1057" spans="43:43" x14ac:dyDescent="0.25">
      <c r="AQ1057" s="37"/>
    </row>
    <row r="1058" spans="43:43" x14ac:dyDescent="0.25">
      <c r="AQ1058" s="37"/>
    </row>
    <row r="1059" spans="43:43" x14ac:dyDescent="0.25">
      <c r="AQ1059" s="37"/>
    </row>
    <row r="1060" spans="43:43" x14ac:dyDescent="0.25">
      <c r="AQ1060" s="37"/>
    </row>
    <row r="1061" spans="43:43" x14ac:dyDescent="0.25">
      <c r="AQ1061" s="37"/>
    </row>
    <row r="1062" spans="43:43" x14ac:dyDescent="0.25">
      <c r="AQ1062" s="37"/>
    </row>
    <row r="1063" spans="43:43" x14ac:dyDescent="0.25">
      <c r="AQ1063" s="37"/>
    </row>
    <row r="1064" spans="43:43" x14ac:dyDescent="0.25">
      <c r="AQ1064" s="37"/>
    </row>
    <row r="1065" spans="43:43" x14ac:dyDescent="0.25">
      <c r="AQ1065" s="37"/>
    </row>
    <row r="1066" spans="43:43" x14ac:dyDescent="0.25">
      <c r="AQ1066" s="37"/>
    </row>
    <row r="1067" spans="43:43" x14ac:dyDescent="0.25">
      <c r="AQ1067" s="37"/>
    </row>
    <row r="1068" spans="43:43" x14ac:dyDescent="0.25">
      <c r="AQ1068" s="37"/>
    </row>
    <row r="1069" spans="43:43" x14ac:dyDescent="0.25">
      <c r="AQ1069" s="37"/>
    </row>
    <row r="1070" spans="43:43" x14ac:dyDescent="0.25">
      <c r="AQ1070" s="37"/>
    </row>
    <row r="1071" spans="43:43" x14ac:dyDescent="0.25">
      <c r="AQ1071" s="37"/>
    </row>
    <row r="1072" spans="43:43" x14ac:dyDescent="0.25">
      <c r="AQ1072" s="37"/>
    </row>
    <row r="1073" spans="43:43" x14ac:dyDescent="0.25">
      <c r="AQ1073" s="37"/>
    </row>
    <row r="1074" spans="43:43" x14ac:dyDescent="0.25">
      <c r="AQ1074" s="37"/>
    </row>
    <row r="1075" spans="43:43" x14ac:dyDescent="0.25">
      <c r="AQ1075" s="37"/>
    </row>
    <row r="1076" spans="43:43" x14ac:dyDescent="0.25">
      <c r="AQ1076" s="37"/>
    </row>
    <row r="1077" spans="43:43" x14ac:dyDescent="0.25">
      <c r="AQ1077" s="37"/>
    </row>
    <row r="1078" spans="43:43" x14ac:dyDescent="0.25">
      <c r="AQ1078" s="37"/>
    </row>
    <row r="1079" spans="43:43" x14ac:dyDescent="0.25">
      <c r="AQ1079" s="37"/>
    </row>
    <row r="1080" spans="43:43" x14ac:dyDescent="0.25">
      <c r="AQ1080" s="37"/>
    </row>
    <row r="1081" spans="43:43" x14ac:dyDescent="0.25">
      <c r="AQ1081" s="37"/>
    </row>
    <row r="1082" spans="43:43" x14ac:dyDescent="0.25">
      <c r="AQ1082" s="37"/>
    </row>
    <row r="1083" spans="43:43" x14ac:dyDescent="0.25">
      <c r="AQ1083" s="37"/>
    </row>
    <row r="1084" spans="43:43" x14ac:dyDescent="0.25">
      <c r="AQ1084" s="37"/>
    </row>
    <row r="1085" spans="43:43" x14ac:dyDescent="0.25">
      <c r="AQ1085" s="37"/>
    </row>
    <row r="1086" spans="43:43" x14ac:dyDescent="0.25">
      <c r="AQ1086" s="37"/>
    </row>
    <row r="1087" spans="43:43" x14ac:dyDescent="0.25">
      <c r="AQ1087" s="37"/>
    </row>
    <row r="1088" spans="43:43" x14ac:dyDescent="0.25">
      <c r="AQ1088" s="37"/>
    </row>
    <row r="1089" spans="43:43" x14ac:dyDescent="0.25">
      <c r="AQ1089" s="37"/>
    </row>
    <row r="1090" spans="43:43" x14ac:dyDescent="0.25">
      <c r="AQ1090" s="37"/>
    </row>
    <row r="1091" spans="43:43" x14ac:dyDescent="0.25">
      <c r="AQ1091" s="37"/>
    </row>
    <row r="1092" spans="43:43" x14ac:dyDescent="0.25">
      <c r="AQ1092" s="37"/>
    </row>
    <row r="1093" spans="43:43" x14ac:dyDescent="0.25">
      <c r="AQ1093" s="37"/>
    </row>
    <row r="1094" spans="43:43" x14ac:dyDescent="0.25">
      <c r="AQ1094" s="37"/>
    </row>
    <row r="1095" spans="43:43" x14ac:dyDescent="0.25">
      <c r="AQ1095" s="37"/>
    </row>
    <row r="1096" spans="43:43" x14ac:dyDescent="0.25">
      <c r="AQ1096" s="37"/>
    </row>
    <row r="1097" spans="43:43" x14ac:dyDescent="0.25">
      <c r="AQ1097" s="37"/>
    </row>
    <row r="1098" spans="43:43" x14ac:dyDescent="0.25">
      <c r="AQ1098" s="37"/>
    </row>
    <row r="1099" spans="43:43" x14ac:dyDescent="0.25">
      <c r="AQ1099" s="37"/>
    </row>
    <row r="1100" spans="43:43" x14ac:dyDescent="0.25">
      <c r="AQ1100" s="37"/>
    </row>
    <row r="1101" spans="43:43" x14ac:dyDescent="0.25">
      <c r="AQ1101" s="37"/>
    </row>
    <row r="1102" spans="43:43" x14ac:dyDescent="0.25">
      <c r="AQ1102" s="37"/>
    </row>
    <row r="1103" spans="43:43" x14ac:dyDescent="0.25">
      <c r="AQ1103" s="37"/>
    </row>
    <row r="1104" spans="43:43" x14ac:dyDescent="0.25">
      <c r="AQ1104" s="37"/>
    </row>
    <row r="1105" spans="43:43" x14ac:dyDescent="0.25">
      <c r="AQ1105" s="37"/>
    </row>
    <row r="1106" spans="43:43" x14ac:dyDescent="0.25">
      <c r="AQ1106" s="37"/>
    </row>
    <row r="1107" spans="43:43" x14ac:dyDescent="0.25">
      <c r="AQ1107" s="37"/>
    </row>
    <row r="1108" spans="43:43" x14ac:dyDescent="0.25">
      <c r="AQ1108" s="37"/>
    </row>
    <row r="1109" spans="43:43" x14ac:dyDescent="0.25">
      <c r="AQ1109" s="37"/>
    </row>
    <row r="1110" spans="43:43" x14ac:dyDescent="0.25">
      <c r="AQ1110" s="37"/>
    </row>
    <row r="1111" spans="43:43" x14ac:dyDescent="0.25">
      <c r="AQ1111" s="37"/>
    </row>
    <row r="1112" spans="43:43" x14ac:dyDescent="0.25">
      <c r="AQ1112" s="37"/>
    </row>
    <row r="1113" spans="43:43" x14ac:dyDescent="0.25">
      <c r="AQ1113" s="37"/>
    </row>
    <row r="1114" spans="43:43" x14ac:dyDescent="0.25">
      <c r="AQ1114" s="37"/>
    </row>
    <row r="1115" spans="43:43" x14ac:dyDescent="0.25">
      <c r="AQ1115" s="37"/>
    </row>
    <row r="1116" spans="43:43" x14ac:dyDescent="0.25">
      <c r="AQ1116" s="37"/>
    </row>
    <row r="1117" spans="43:43" x14ac:dyDescent="0.25">
      <c r="AQ1117" s="37"/>
    </row>
    <row r="1118" spans="43:43" x14ac:dyDescent="0.25">
      <c r="AQ1118" s="37"/>
    </row>
    <row r="1119" spans="43:43" x14ac:dyDescent="0.25">
      <c r="AQ1119" s="37"/>
    </row>
    <row r="1120" spans="43:43" x14ac:dyDescent="0.25">
      <c r="AQ1120" s="37"/>
    </row>
    <row r="1121" spans="43:43" x14ac:dyDescent="0.25">
      <c r="AQ1121" s="37"/>
    </row>
    <row r="1122" spans="43:43" x14ac:dyDescent="0.25">
      <c r="AQ1122" s="37"/>
    </row>
    <row r="1123" spans="43:43" x14ac:dyDescent="0.25">
      <c r="AQ1123" s="37"/>
    </row>
    <row r="1124" spans="43:43" x14ac:dyDescent="0.25">
      <c r="AQ1124" s="37"/>
    </row>
    <row r="1125" spans="43:43" x14ac:dyDescent="0.25">
      <c r="AQ1125" s="37"/>
    </row>
    <row r="1126" spans="43:43" x14ac:dyDescent="0.25">
      <c r="AQ1126" s="37"/>
    </row>
    <row r="1127" spans="43:43" x14ac:dyDescent="0.25">
      <c r="AQ1127" s="37"/>
    </row>
    <row r="1128" spans="43:43" x14ac:dyDescent="0.25">
      <c r="AQ1128" s="37"/>
    </row>
    <row r="1129" spans="43:43" x14ac:dyDescent="0.25">
      <c r="AQ1129" s="37"/>
    </row>
    <row r="1130" spans="43:43" x14ac:dyDescent="0.25">
      <c r="AQ1130" s="37"/>
    </row>
    <row r="1131" spans="43:43" x14ac:dyDescent="0.25">
      <c r="AQ1131" s="37"/>
    </row>
    <row r="1132" spans="43:43" x14ac:dyDescent="0.25">
      <c r="AQ1132" s="37"/>
    </row>
    <row r="1133" spans="43:43" x14ac:dyDescent="0.25">
      <c r="AQ1133" s="37"/>
    </row>
    <row r="1134" spans="43:43" x14ac:dyDescent="0.25">
      <c r="AQ1134" s="37"/>
    </row>
    <row r="1135" spans="43:43" x14ac:dyDescent="0.25">
      <c r="AQ1135" s="37"/>
    </row>
    <row r="1136" spans="43:43" x14ac:dyDescent="0.25">
      <c r="AQ1136" s="37"/>
    </row>
    <row r="1137" spans="43:43" x14ac:dyDescent="0.25">
      <c r="AQ1137" s="37"/>
    </row>
    <row r="1138" spans="43:43" x14ac:dyDescent="0.25">
      <c r="AQ1138" s="37"/>
    </row>
    <row r="1139" spans="43:43" x14ac:dyDescent="0.25">
      <c r="AQ1139" s="37"/>
    </row>
    <row r="1140" spans="43:43" x14ac:dyDescent="0.25">
      <c r="AQ1140" s="37"/>
    </row>
    <row r="1141" spans="43:43" x14ac:dyDescent="0.25">
      <c r="AQ1141" s="37"/>
    </row>
    <row r="1142" spans="43:43" x14ac:dyDescent="0.25">
      <c r="AQ1142" s="37"/>
    </row>
    <row r="1143" spans="43:43" x14ac:dyDescent="0.25">
      <c r="AQ1143" s="37"/>
    </row>
    <row r="1144" spans="43:43" x14ac:dyDescent="0.25">
      <c r="AQ1144" s="37"/>
    </row>
    <row r="1145" spans="43:43" x14ac:dyDescent="0.25">
      <c r="AQ1145" s="37"/>
    </row>
    <row r="1146" spans="43:43" x14ac:dyDescent="0.25">
      <c r="AQ1146" s="37"/>
    </row>
    <row r="1147" spans="43:43" x14ac:dyDescent="0.25">
      <c r="AQ1147" s="37"/>
    </row>
    <row r="1148" spans="43:43" x14ac:dyDescent="0.25">
      <c r="AQ1148" s="37"/>
    </row>
    <row r="1149" spans="43:43" x14ac:dyDescent="0.25">
      <c r="AQ1149" s="37"/>
    </row>
    <row r="1150" spans="43:43" x14ac:dyDescent="0.25">
      <c r="AQ1150" s="37"/>
    </row>
    <row r="1151" spans="43:43" x14ac:dyDescent="0.25">
      <c r="AQ1151" s="37"/>
    </row>
    <row r="1152" spans="43:43" x14ac:dyDescent="0.25">
      <c r="AQ1152" s="37"/>
    </row>
    <row r="1153" spans="43:43" x14ac:dyDescent="0.25">
      <c r="AQ1153" s="37"/>
    </row>
    <row r="1154" spans="43:43" x14ac:dyDescent="0.25">
      <c r="AQ1154" s="37"/>
    </row>
    <row r="1155" spans="43:43" x14ac:dyDescent="0.25">
      <c r="AQ1155" s="37"/>
    </row>
    <row r="1156" spans="43:43" x14ac:dyDescent="0.25">
      <c r="AQ1156" s="37"/>
    </row>
    <row r="1157" spans="43:43" x14ac:dyDescent="0.25">
      <c r="AQ1157" s="37"/>
    </row>
    <row r="1158" spans="43:43" x14ac:dyDescent="0.25">
      <c r="AQ1158" s="37"/>
    </row>
    <row r="1159" spans="43:43" x14ac:dyDescent="0.25">
      <c r="AQ1159" s="37"/>
    </row>
    <row r="1160" spans="43:43" x14ac:dyDescent="0.25">
      <c r="AQ1160" s="37"/>
    </row>
    <row r="1161" spans="43:43" x14ac:dyDescent="0.25">
      <c r="AQ1161" s="37"/>
    </row>
    <row r="1162" spans="43:43" x14ac:dyDescent="0.25">
      <c r="AQ1162" s="37"/>
    </row>
    <row r="1163" spans="43:43" x14ac:dyDescent="0.25">
      <c r="AQ1163" s="37"/>
    </row>
    <row r="1164" spans="43:43" x14ac:dyDescent="0.25">
      <c r="AQ1164" s="37"/>
    </row>
    <row r="1165" spans="43:43" x14ac:dyDescent="0.25">
      <c r="AQ1165" s="37"/>
    </row>
    <row r="1166" spans="43:43" x14ac:dyDescent="0.25">
      <c r="AQ1166" s="37"/>
    </row>
    <row r="1167" spans="43:43" x14ac:dyDescent="0.25">
      <c r="AQ1167" s="37"/>
    </row>
    <row r="1168" spans="43:43" x14ac:dyDescent="0.25">
      <c r="AQ1168" s="37"/>
    </row>
    <row r="1169" spans="43:43" x14ac:dyDescent="0.25">
      <c r="AQ1169" s="37"/>
    </row>
    <row r="1170" spans="43:43" x14ac:dyDescent="0.25">
      <c r="AQ1170" s="37"/>
    </row>
    <row r="1171" spans="43:43" x14ac:dyDescent="0.25">
      <c r="AQ1171" s="37"/>
    </row>
    <row r="1172" spans="43:43" x14ac:dyDescent="0.25">
      <c r="AQ1172" s="37"/>
    </row>
    <row r="1173" spans="43:43" x14ac:dyDescent="0.25">
      <c r="AQ1173" s="37"/>
    </row>
    <row r="1174" spans="43:43" x14ac:dyDescent="0.25">
      <c r="AQ1174" s="37"/>
    </row>
    <row r="1175" spans="43:43" x14ac:dyDescent="0.25">
      <c r="AQ1175" s="37"/>
    </row>
    <row r="1176" spans="43:43" x14ac:dyDescent="0.25">
      <c r="AQ1176" s="37"/>
    </row>
    <row r="1177" spans="43:43" x14ac:dyDescent="0.25">
      <c r="AQ1177" s="37"/>
    </row>
    <row r="1178" spans="43:43" x14ac:dyDescent="0.25">
      <c r="AQ1178" s="37"/>
    </row>
    <row r="1179" spans="43:43" x14ac:dyDescent="0.25">
      <c r="AQ1179" s="37"/>
    </row>
    <row r="1180" spans="43:43" x14ac:dyDescent="0.25">
      <c r="AQ1180" s="37"/>
    </row>
    <row r="1181" spans="43:43" x14ac:dyDescent="0.25">
      <c r="AQ1181" s="37"/>
    </row>
    <row r="1182" spans="43:43" x14ac:dyDescent="0.25">
      <c r="AQ1182" s="37"/>
    </row>
    <row r="1183" spans="43:43" x14ac:dyDescent="0.25">
      <c r="AQ1183" s="37"/>
    </row>
    <row r="1184" spans="43:43" x14ac:dyDescent="0.25">
      <c r="AQ1184" s="37"/>
    </row>
    <row r="1185" spans="43:43" x14ac:dyDescent="0.25">
      <c r="AQ1185" s="37"/>
    </row>
    <row r="1186" spans="43:43" x14ac:dyDescent="0.25">
      <c r="AQ1186" s="37"/>
    </row>
    <row r="1187" spans="43:43" x14ac:dyDescent="0.25">
      <c r="AQ1187" s="37"/>
    </row>
    <row r="1188" spans="43:43" x14ac:dyDescent="0.25">
      <c r="AQ1188" s="37"/>
    </row>
    <row r="1189" spans="43:43" x14ac:dyDescent="0.25">
      <c r="AQ1189" s="37"/>
    </row>
    <row r="1190" spans="43:43" x14ac:dyDescent="0.25">
      <c r="AQ1190" s="37"/>
    </row>
    <row r="1191" spans="43:43" x14ac:dyDescent="0.25">
      <c r="AQ1191" s="37"/>
    </row>
    <row r="1192" spans="43:43" x14ac:dyDescent="0.25">
      <c r="AQ1192" s="37"/>
    </row>
    <row r="1193" spans="43:43" x14ac:dyDescent="0.25">
      <c r="AQ1193" s="37"/>
    </row>
    <row r="1194" spans="43:43" x14ac:dyDescent="0.25">
      <c r="AQ1194" s="37"/>
    </row>
    <row r="1195" spans="43:43" x14ac:dyDescent="0.25">
      <c r="AQ1195" s="37"/>
    </row>
    <row r="1196" spans="43:43" x14ac:dyDescent="0.25">
      <c r="AQ1196" s="37"/>
    </row>
    <row r="1197" spans="43:43" x14ac:dyDescent="0.25">
      <c r="AQ1197" s="37"/>
    </row>
    <row r="1198" spans="43:43" x14ac:dyDescent="0.25">
      <c r="AQ1198" s="37"/>
    </row>
    <row r="1199" spans="43:43" x14ac:dyDescent="0.25">
      <c r="AQ1199" s="37"/>
    </row>
    <row r="1200" spans="43:43" x14ac:dyDescent="0.25">
      <c r="AQ1200" s="37"/>
    </row>
    <row r="1201" spans="43:43" x14ac:dyDescent="0.25">
      <c r="AQ1201" s="37"/>
    </row>
    <row r="1202" spans="43:43" x14ac:dyDescent="0.25">
      <c r="AQ1202" s="37"/>
    </row>
    <row r="1203" spans="43:43" x14ac:dyDescent="0.25">
      <c r="AQ1203" s="37"/>
    </row>
    <row r="1204" spans="43:43" x14ac:dyDescent="0.25">
      <c r="AQ1204" s="37"/>
    </row>
    <row r="1205" spans="43:43" x14ac:dyDescent="0.25">
      <c r="AQ1205" s="37"/>
    </row>
    <row r="1206" spans="43:43" x14ac:dyDescent="0.25">
      <c r="AQ1206" s="37"/>
    </row>
    <row r="1207" spans="43:43" x14ac:dyDescent="0.25">
      <c r="AQ1207" s="37"/>
    </row>
    <row r="1208" spans="43:43" x14ac:dyDescent="0.25">
      <c r="AQ1208" s="37"/>
    </row>
    <row r="1209" spans="43:43" x14ac:dyDescent="0.25">
      <c r="AQ1209" s="37"/>
    </row>
    <row r="1210" spans="43:43" x14ac:dyDescent="0.25">
      <c r="AQ1210" s="37"/>
    </row>
    <row r="1211" spans="43:43" x14ac:dyDescent="0.25">
      <c r="AQ1211" s="37"/>
    </row>
    <row r="1212" spans="43:43" x14ac:dyDescent="0.25">
      <c r="AQ1212" s="37"/>
    </row>
    <row r="1213" spans="43:43" x14ac:dyDescent="0.25">
      <c r="AQ1213" s="37"/>
    </row>
    <row r="1214" spans="43:43" x14ac:dyDescent="0.25">
      <c r="AQ1214" s="37"/>
    </row>
    <row r="1215" spans="43:43" x14ac:dyDescent="0.25">
      <c r="AQ1215" s="37"/>
    </row>
    <row r="1216" spans="43:43" x14ac:dyDescent="0.25">
      <c r="AQ1216" s="37"/>
    </row>
    <row r="1217" spans="43:43" x14ac:dyDescent="0.25">
      <c r="AQ1217" s="37"/>
    </row>
    <row r="1218" spans="43:43" x14ac:dyDescent="0.25">
      <c r="AQ1218" s="37"/>
    </row>
    <row r="1219" spans="43:43" x14ac:dyDescent="0.25">
      <c r="AQ1219" s="37"/>
    </row>
    <row r="1220" spans="43:43" x14ac:dyDescent="0.25">
      <c r="AQ1220" s="37"/>
    </row>
    <row r="1221" spans="43:43" x14ac:dyDescent="0.25">
      <c r="AQ1221" s="37"/>
    </row>
    <row r="1222" spans="43:43" x14ac:dyDescent="0.25">
      <c r="AQ1222" s="37"/>
    </row>
    <row r="1223" spans="43:43" x14ac:dyDescent="0.25">
      <c r="AQ1223" s="37"/>
    </row>
    <row r="1224" spans="43:43" x14ac:dyDescent="0.25">
      <c r="AQ1224" s="37"/>
    </row>
    <row r="1225" spans="43:43" x14ac:dyDescent="0.25">
      <c r="AQ1225" s="37"/>
    </row>
    <row r="1226" spans="43:43" x14ac:dyDescent="0.25">
      <c r="AQ1226" s="37"/>
    </row>
    <row r="1227" spans="43:43" x14ac:dyDescent="0.25">
      <c r="AQ1227" s="37"/>
    </row>
    <row r="1228" spans="43:43" x14ac:dyDescent="0.25">
      <c r="AQ1228" s="37"/>
    </row>
    <row r="1229" spans="43:43" x14ac:dyDescent="0.25">
      <c r="AQ1229" s="37"/>
    </row>
    <row r="1230" spans="43:43" x14ac:dyDescent="0.25">
      <c r="AQ1230" s="37"/>
    </row>
    <row r="1231" spans="43:43" x14ac:dyDescent="0.25">
      <c r="AQ1231" s="37"/>
    </row>
    <row r="1232" spans="43:43" x14ac:dyDescent="0.25">
      <c r="AQ1232" s="37"/>
    </row>
    <row r="1233" spans="43:43" x14ac:dyDescent="0.25">
      <c r="AQ1233" s="37"/>
    </row>
    <row r="1234" spans="43:43" x14ac:dyDescent="0.25">
      <c r="AQ1234" s="37"/>
    </row>
    <row r="1235" spans="43:43" x14ac:dyDescent="0.25">
      <c r="AQ1235" s="37"/>
    </row>
    <row r="1236" spans="43:43" x14ac:dyDescent="0.25">
      <c r="AQ1236" s="37"/>
    </row>
    <row r="1237" spans="43:43" x14ac:dyDescent="0.25">
      <c r="AQ1237" s="37"/>
    </row>
    <row r="1238" spans="43:43" x14ac:dyDescent="0.25">
      <c r="AQ1238" s="37"/>
    </row>
    <row r="1239" spans="43:43" x14ac:dyDescent="0.25">
      <c r="AQ1239" s="37"/>
    </row>
    <row r="1240" spans="43:43" x14ac:dyDescent="0.25">
      <c r="AQ1240" s="37"/>
    </row>
    <row r="1241" spans="43:43" x14ac:dyDescent="0.25">
      <c r="AQ1241" s="37"/>
    </row>
    <row r="1242" spans="43:43" x14ac:dyDescent="0.25">
      <c r="AQ1242" s="37"/>
    </row>
    <row r="1243" spans="43:43" x14ac:dyDescent="0.25">
      <c r="AQ1243" s="37"/>
    </row>
    <row r="1244" spans="43:43" x14ac:dyDescent="0.25">
      <c r="AQ1244" s="37"/>
    </row>
    <row r="1245" spans="43:43" x14ac:dyDescent="0.25">
      <c r="AQ1245" s="37"/>
    </row>
    <row r="1246" spans="43:43" x14ac:dyDescent="0.25">
      <c r="AQ1246" s="37"/>
    </row>
    <row r="1247" spans="43:43" x14ac:dyDescent="0.25">
      <c r="AQ1247" s="37"/>
    </row>
    <row r="1248" spans="43:43" x14ac:dyDescent="0.25">
      <c r="AQ1248" s="37"/>
    </row>
    <row r="1249" spans="43:43" x14ac:dyDescent="0.25">
      <c r="AQ1249" s="37"/>
    </row>
    <row r="1250" spans="43:43" x14ac:dyDescent="0.25">
      <c r="AQ1250" s="37"/>
    </row>
    <row r="1251" spans="43:43" x14ac:dyDescent="0.25">
      <c r="AQ1251" s="37"/>
    </row>
    <row r="1252" spans="43:43" x14ac:dyDescent="0.25">
      <c r="AQ1252" s="37"/>
    </row>
    <row r="1253" spans="43:43" x14ac:dyDescent="0.25">
      <c r="AQ1253" s="37"/>
    </row>
    <row r="1254" spans="43:43" x14ac:dyDescent="0.25">
      <c r="AQ1254" s="37"/>
    </row>
    <row r="1255" spans="43:43" x14ac:dyDescent="0.25">
      <c r="AQ1255" s="37"/>
    </row>
    <row r="1256" spans="43:43" x14ac:dyDescent="0.25">
      <c r="AQ1256" s="37"/>
    </row>
    <row r="1257" spans="43:43" x14ac:dyDescent="0.25">
      <c r="AQ1257" s="37"/>
    </row>
    <row r="1258" spans="43:43" x14ac:dyDescent="0.25">
      <c r="AQ1258" s="37"/>
    </row>
    <row r="1259" spans="43:43" x14ac:dyDescent="0.25">
      <c r="AQ1259" s="37"/>
    </row>
    <row r="1260" spans="43:43" x14ac:dyDescent="0.25">
      <c r="AQ1260" s="37"/>
    </row>
    <row r="1261" spans="43:43" x14ac:dyDescent="0.25">
      <c r="AQ1261" s="37"/>
    </row>
    <row r="1262" spans="43:43" x14ac:dyDescent="0.25">
      <c r="AQ1262" s="37"/>
    </row>
    <row r="1263" spans="43:43" x14ac:dyDescent="0.25">
      <c r="AQ1263" s="37"/>
    </row>
    <row r="1264" spans="43:43" x14ac:dyDescent="0.25">
      <c r="AQ1264" s="37"/>
    </row>
    <row r="1265" spans="43:43" x14ac:dyDescent="0.25">
      <c r="AQ1265" s="37"/>
    </row>
    <row r="1266" spans="43:43" x14ac:dyDescent="0.25">
      <c r="AQ1266" s="37"/>
    </row>
    <row r="1267" spans="43:43" x14ac:dyDescent="0.25">
      <c r="AQ1267" s="37"/>
    </row>
    <row r="1268" spans="43:43" x14ac:dyDescent="0.25">
      <c r="AQ1268" s="37"/>
    </row>
    <row r="1269" spans="43:43" x14ac:dyDescent="0.25">
      <c r="AQ1269" s="37"/>
    </row>
    <row r="1270" spans="43:43" x14ac:dyDescent="0.25">
      <c r="AQ1270" s="37"/>
    </row>
    <row r="1271" spans="43:43" x14ac:dyDescent="0.25">
      <c r="AQ1271" s="37"/>
    </row>
    <row r="1272" spans="43:43" x14ac:dyDescent="0.25">
      <c r="AQ1272" s="37"/>
    </row>
    <row r="1273" spans="43:43" x14ac:dyDescent="0.25">
      <c r="AQ1273" s="37"/>
    </row>
    <row r="1274" spans="43:43" x14ac:dyDescent="0.25">
      <c r="AQ1274" s="37"/>
    </row>
    <row r="1275" spans="43:43" x14ac:dyDescent="0.25">
      <c r="AQ1275" s="37"/>
    </row>
    <row r="1276" spans="43:43" x14ac:dyDescent="0.25">
      <c r="AQ1276" s="37"/>
    </row>
    <row r="1277" spans="43:43" x14ac:dyDescent="0.25">
      <c r="AQ1277" s="37"/>
    </row>
    <row r="1278" spans="43:43" x14ac:dyDescent="0.25">
      <c r="AQ1278" s="37"/>
    </row>
    <row r="1279" spans="43:43" x14ac:dyDescent="0.25">
      <c r="AQ1279" s="37"/>
    </row>
    <row r="1280" spans="43:43" x14ac:dyDescent="0.25">
      <c r="AQ1280" s="37"/>
    </row>
    <row r="1281" spans="43:43" x14ac:dyDescent="0.25">
      <c r="AQ1281" s="37"/>
    </row>
    <row r="1282" spans="43:43" x14ac:dyDescent="0.25">
      <c r="AQ1282" s="37"/>
    </row>
    <row r="1283" spans="43:43" x14ac:dyDescent="0.25">
      <c r="AQ1283" s="37"/>
    </row>
    <row r="1284" spans="43:43" x14ac:dyDescent="0.25">
      <c r="AQ1284" s="37"/>
    </row>
    <row r="1285" spans="43:43" x14ac:dyDescent="0.25">
      <c r="AQ1285" s="37"/>
    </row>
    <row r="1286" spans="43:43" x14ac:dyDescent="0.25">
      <c r="AQ1286" s="37"/>
    </row>
    <row r="1287" spans="43:43" x14ac:dyDescent="0.25">
      <c r="AQ1287" s="37"/>
    </row>
    <row r="1288" spans="43:43" x14ac:dyDescent="0.25">
      <c r="AQ1288" s="37"/>
    </row>
    <row r="1289" spans="43:43" x14ac:dyDescent="0.25">
      <c r="AQ1289" s="37"/>
    </row>
    <row r="1290" spans="43:43" x14ac:dyDescent="0.25">
      <c r="AQ1290" s="37"/>
    </row>
    <row r="1291" spans="43:43" x14ac:dyDescent="0.25">
      <c r="AQ1291" s="37"/>
    </row>
    <row r="1292" spans="43:43" x14ac:dyDescent="0.25">
      <c r="AQ1292" s="37"/>
    </row>
    <row r="1293" spans="43:43" x14ac:dyDescent="0.25">
      <c r="AQ1293" s="37"/>
    </row>
    <row r="1294" spans="43:43" x14ac:dyDescent="0.25">
      <c r="AQ1294" s="37"/>
    </row>
    <row r="1295" spans="43:43" x14ac:dyDescent="0.25">
      <c r="AQ1295" s="37"/>
    </row>
    <row r="1296" spans="43:43" x14ac:dyDescent="0.25">
      <c r="AQ1296" s="37"/>
    </row>
    <row r="1297" spans="43:43" x14ac:dyDescent="0.25">
      <c r="AQ1297" s="37"/>
    </row>
    <row r="1298" spans="43:43" x14ac:dyDescent="0.25">
      <c r="AQ1298" s="37"/>
    </row>
    <row r="1299" spans="43:43" x14ac:dyDescent="0.25">
      <c r="AQ1299" s="37"/>
    </row>
    <row r="1300" spans="43:43" x14ac:dyDescent="0.25">
      <c r="AQ1300" s="37"/>
    </row>
    <row r="1301" spans="43:43" x14ac:dyDescent="0.25">
      <c r="AQ1301" s="37"/>
    </row>
    <row r="1302" spans="43:43" x14ac:dyDescent="0.25">
      <c r="AQ1302" s="37"/>
    </row>
    <row r="1303" spans="43:43" x14ac:dyDescent="0.25">
      <c r="AQ1303" s="37"/>
    </row>
    <row r="1304" spans="43:43" x14ac:dyDescent="0.25">
      <c r="AQ1304" s="37"/>
    </row>
    <row r="1305" spans="43:43" x14ac:dyDescent="0.25">
      <c r="AQ1305" s="37"/>
    </row>
    <row r="1306" spans="43:43" x14ac:dyDescent="0.25">
      <c r="AQ1306" s="37"/>
    </row>
    <row r="1307" spans="43:43" x14ac:dyDescent="0.25">
      <c r="AQ1307" s="37"/>
    </row>
    <row r="1308" spans="43:43" x14ac:dyDescent="0.25">
      <c r="AQ1308" s="37"/>
    </row>
    <row r="1309" spans="43:43" x14ac:dyDescent="0.25">
      <c r="AQ1309" s="37"/>
    </row>
    <row r="1310" spans="43:43" x14ac:dyDescent="0.25">
      <c r="AQ1310" s="37"/>
    </row>
    <row r="1311" spans="43:43" x14ac:dyDescent="0.25">
      <c r="AQ1311" s="37"/>
    </row>
    <row r="1312" spans="43:43" x14ac:dyDescent="0.25">
      <c r="AQ1312" s="37"/>
    </row>
    <row r="1313" spans="43:43" x14ac:dyDescent="0.25">
      <c r="AQ1313" s="37"/>
    </row>
    <row r="1314" spans="43:43" x14ac:dyDescent="0.25">
      <c r="AQ1314" s="37"/>
    </row>
    <row r="1315" spans="43:43" x14ac:dyDescent="0.25">
      <c r="AQ1315" s="37"/>
    </row>
    <row r="1316" spans="43:43" x14ac:dyDescent="0.25">
      <c r="AQ1316" s="37"/>
    </row>
    <row r="1317" spans="43:43" x14ac:dyDescent="0.25">
      <c r="AQ1317" s="37"/>
    </row>
    <row r="1318" spans="43:43" x14ac:dyDescent="0.25">
      <c r="AQ1318" s="37"/>
    </row>
    <row r="1319" spans="43:43" x14ac:dyDescent="0.25">
      <c r="AQ1319" s="37"/>
    </row>
    <row r="1320" spans="43:43" x14ac:dyDescent="0.25">
      <c r="AQ1320" s="37"/>
    </row>
    <row r="1321" spans="43:43" x14ac:dyDescent="0.25">
      <c r="AQ1321" s="37"/>
    </row>
    <row r="1322" spans="43:43" x14ac:dyDescent="0.25">
      <c r="AQ1322" s="37"/>
    </row>
    <row r="1323" spans="43:43" x14ac:dyDescent="0.25">
      <c r="AQ1323" s="37"/>
    </row>
    <row r="1324" spans="43:43" x14ac:dyDescent="0.25">
      <c r="AQ1324" s="37"/>
    </row>
    <row r="1325" spans="43:43" x14ac:dyDescent="0.25">
      <c r="AQ1325" s="37"/>
    </row>
    <row r="1326" spans="43:43" x14ac:dyDescent="0.25">
      <c r="AQ1326" s="37"/>
    </row>
    <row r="1327" spans="43:43" x14ac:dyDescent="0.25">
      <c r="AQ1327" s="37"/>
    </row>
    <row r="1328" spans="43:43" x14ac:dyDescent="0.25">
      <c r="AQ1328" s="37"/>
    </row>
    <row r="1329" spans="43:43" x14ac:dyDescent="0.25">
      <c r="AQ1329" s="37"/>
    </row>
    <row r="1330" spans="43:43" x14ac:dyDescent="0.25">
      <c r="AQ1330" s="37"/>
    </row>
    <row r="1331" spans="43:43" x14ac:dyDescent="0.25">
      <c r="AQ1331" s="37"/>
    </row>
    <row r="1332" spans="43:43" x14ac:dyDescent="0.25">
      <c r="AQ1332" s="37"/>
    </row>
    <row r="1333" spans="43:43" x14ac:dyDescent="0.25">
      <c r="AQ1333" s="37"/>
    </row>
    <row r="1334" spans="43:43" x14ac:dyDescent="0.25">
      <c r="AQ1334" s="37"/>
    </row>
    <row r="1335" spans="43:43" x14ac:dyDescent="0.25">
      <c r="AQ1335" s="37"/>
    </row>
    <row r="1336" spans="43:43" x14ac:dyDescent="0.25">
      <c r="AQ1336" s="37"/>
    </row>
    <row r="1337" spans="43:43" x14ac:dyDescent="0.25">
      <c r="AQ1337" s="37"/>
    </row>
    <row r="1338" spans="43:43" x14ac:dyDescent="0.25">
      <c r="AQ1338" s="37"/>
    </row>
    <row r="1339" spans="43:43" x14ac:dyDescent="0.25">
      <c r="AQ1339" s="37"/>
    </row>
    <row r="1340" spans="43:43" x14ac:dyDescent="0.25">
      <c r="AQ1340" s="37"/>
    </row>
    <row r="1341" spans="43:43" x14ac:dyDescent="0.25">
      <c r="AQ1341" s="37"/>
    </row>
    <row r="1342" spans="43:43" x14ac:dyDescent="0.25">
      <c r="AQ1342" s="37"/>
    </row>
    <row r="1343" spans="43:43" x14ac:dyDescent="0.25">
      <c r="AQ1343" s="37"/>
    </row>
    <row r="1344" spans="43:43" x14ac:dyDescent="0.25">
      <c r="AQ1344" s="37"/>
    </row>
    <row r="1345" spans="43:43" x14ac:dyDescent="0.25">
      <c r="AQ1345" s="37"/>
    </row>
    <row r="1346" spans="43:43" x14ac:dyDescent="0.25">
      <c r="AQ1346" s="37"/>
    </row>
    <row r="1347" spans="43:43" x14ac:dyDescent="0.25">
      <c r="AQ1347" s="37"/>
    </row>
    <row r="1348" spans="43:43" x14ac:dyDescent="0.25">
      <c r="AQ1348" s="37"/>
    </row>
    <row r="1349" spans="43:43" x14ac:dyDescent="0.25">
      <c r="AQ1349" s="37"/>
    </row>
    <row r="1350" spans="43:43" x14ac:dyDescent="0.25">
      <c r="AQ1350" s="37"/>
    </row>
    <row r="1351" spans="43:43" x14ac:dyDescent="0.25">
      <c r="AQ1351" s="37"/>
    </row>
    <row r="1352" spans="43:43" x14ac:dyDescent="0.25">
      <c r="AQ1352" s="37"/>
    </row>
    <row r="1353" spans="43:43" x14ac:dyDescent="0.25">
      <c r="AQ1353" s="37"/>
    </row>
    <row r="1354" spans="43:43" x14ac:dyDescent="0.25">
      <c r="AQ1354" s="37"/>
    </row>
    <row r="1355" spans="43:43" x14ac:dyDescent="0.25">
      <c r="AQ1355" s="37"/>
    </row>
    <row r="1356" spans="43:43" x14ac:dyDescent="0.25">
      <c r="AQ1356" s="37"/>
    </row>
    <row r="1357" spans="43:43" x14ac:dyDescent="0.25">
      <c r="AQ1357" s="37"/>
    </row>
    <row r="1358" spans="43:43" x14ac:dyDescent="0.25">
      <c r="AQ1358" s="37"/>
    </row>
    <row r="1359" spans="43:43" x14ac:dyDescent="0.25">
      <c r="AQ1359" s="37"/>
    </row>
    <row r="1360" spans="43:43" x14ac:dyDescent="0.25">
      <c r="AQ1360" s="37"/>
    </row>
    <row r="1361" spans="43:43" x14ac:dyDescent="0.25">
      <c r="AQ1361" s="37"/>
    </row>
    <row r="1362" spans="43:43" x14ac:dyDescent="0.25">
      <c r="AQ1362" s="37"/>
    </row>
    <row r="1363" spans="43:43" x14ac:dyDescent="0.25">
      <c r="AQ1363" s="37"/>
    </row>
    <row r="1364" spans="43:43" x14ac:dyDescent="0.25">
      <c r="AQ1364" s="37"/>
    </row>
    <row r="1365" spans="43:43" x14ac:dyDescent="0.25">
      <c r="AQ1365" s="37"/>
    </row>
    <row r="1366" spans="43:43" x14ac:dyDescent="0.25">
      <c r="AQ1366" s="37"/>
    </row>
    <row r="1367" spans="43:43" x14ac:dyDescent="0.25">
      <c r="AQ1367" s="37"/>
    </row>
    <row r="1368" spans="43:43" x14ac:dyDescent="0.25">
      <c r="AQ1368" s="37"/>
    </row>
    <row r="1369" spans="43:43" x14ac:dyDescent="0.25">
      <c r="AQ1369" s="37"/>
    </row>
    <row r="1370" spans="43:43" x14ac:dyDescent="0.25">
      <c r="AQ1370" s="37"/>
    </row>
    <row r="1371" spans="43:43" x14ac:dyDescent="0.25">
      <c r="AQ1371" s="37"/>
    </row>
    <row r="1372" spans="43:43" x14ac:dyDescent="0.25">
      <c r="AQ1372" s="37"/>
    </row>
    <row r="1373" spans="43:43" x14ac:dyDescent="0.25">
      <c r="AQ1373" s="37"/>
    </row>
    <row r="1374" spans="43:43" x14ac:dyDescent="0.25">
      <c r="AQ1374" s="37"/>
    </row>
    <row r="1375" spans="43:43" x14ac:dyDescent="0.25">
      <c r="AQ1375" s="37"/>
    </row>
    <row r="1376" spans="43:43" x14ac:dyDescent="0.25">
      <c r="AQ1376" s="37"/>
    </row>
    <row r="1377" spans="43:43" x14ac:dyDescent="0.25">
      <c r="AQ1377" s="37"/>
    </row>
    <row r="1378" spans="43:43" x14ac:dyDescent="0.25">
      <c r="AQ1378" s="37"/>
    </row>
    <row r="1379" spans="43:43" x14ac:dyDescent="0.25">
      <c r="AQ1379" s="37"/>
    </row>
    <row r="1380" spans="43:43" x14ac:dyDescent="0.25">
      <c r="AQ1380" s="37"/>
    </row>
    <row r="1381" spans="43:43" x14ac:dyDescent="0.25">
      <c r="AQ1381" s="37"/>
    </row>
    <row r="1382" spans="43:43" x14ac:dyDescent="0.25">
      <c r="AQ1382" s="37"/>
    </row>
    <row r="1383" spans="43:43" x14ac:dyDescent="0.25">
      <c r="AQ1383" s="37"/>
    </row>
    <row r="1384" spans="43:43" x14ac:dyDescent="0.25">
      <c r="AQ1384" s="37"/>
    </row>
    <row r="1385" spans="43:43" x14ac:dyDescent="0.25">
      <c r="AQ1385" s="37"/>
    </row>
    <row r="1386" spans="43:43" x14ac:dyDescent="0.25">
      <c r="AQ1386" s="37"/>
    </row>
    <row r="1387" spans="43:43" x14ac:dyDescent="0.25">
      <c r="AQ1387" s="37"/>
    </row>
    <row r="1388" spans="43:43" x14ac:dyDescent="0.25">
      <c r="AQ1388" s="37"/>
    </row>
    <row r="1389" spans="43:43" x14ac:dyDescent="0.25">
      <c r="AQ1389" s="37"/>
    </row>
    <row r="1390" spans="43:43" x14ac:dyDescent="0.25">
      <c r="AQ1390" s="37"/>
    </row>
    <row r="1391" spans="43:43" x14ac:dyDescent="0.25">
      <c r="AQ1391" s="37"/>
    </row>
    <row r="1392" spans="43:43" x14ac:dyDescent="0.25">
      <c r="AQ1392" s="37"/>
    </row>
    <row r="1393" spans="43:43" x14ac:dyDescent="0.25">
      <c r="AQ1393" s="37"/>
    </row>
    <row r="1394" spans="43:43" x14ac:dyDescent="0.25">
      <c r="AQ1394" s="37"/>
    </row>
    <row r="1395" spans="43:43" x14ac:dyDescent="0.25">
      <c r="AQ1395" s="37"/>
    </row>
    <row r="1396" spans="43:43" x14ac:dyDescent="0.25">
      <c r="AQ1396" s="37"/>
    </row>
    <row r="1397" spans="43:43" x14ac:dyDescent="0.25">
      <c r="AQ1397" s="37"/>
    </row>
    <row r="1398" spans="43:43" x14ac:dyDescent="0.25">
      <c r="AQ1398" s="37"/>
    </row>
    <row r="1399" spans="43:43" x14ac:dyDescent="0.25">
      <c r="AQ1399" s="37"/>
    </row>
    <row r="1400" spans="43:43" x14ac:dyDescent="0.25">
      <c r="AQ1400" s="37"/>
    </row>
    <row r="1401" spans="43:43" x14ac:dyDescent="0.25">
      <c r="AQ1401" s="37"/>
    </row>
    <row r="1402" spans="43:43" x14ac:dyDescent="0.25">
      <c r="AQ1402" s="37"/>
    </row>
    <row r="1403" spans="43:43" x14ac:dyDescent="0.25">
      <c r="AQ1403" s="37"/>
    </row>
    <row r="1404" spans="43:43" x14ac:dyDescent="0.25">
      <c r="AQ1404" s="37"/>
    </row>
    <row r="1405" spans="43:43" x14ac:dyDescent="0.25">
      <c r="AQ1405" s="37"/>
    </row>
    <row r="1406" spans="43:43" x14ac:dyDescent="0.25">
      <c r="AQ1406" s="37"/>
    </row>
    <row r="1407" spans="43:43" x14ac:dyDescent="0.25">
      <c r="AQ1407" s="37"/>
    </row>
    <row r="1408" spans="43:43" x14ac:dyDescent="0.25">
      <c r="AQ1408" s="37"/>
    </row>
    <row r="1409" spans="43:43" x14ac:dyDescent="0.25">
      <c r="AQ1409" s="37"/>
    </row>
    <row r="1410" spans="43:43" x14ac:dyDescent="0.25">
      <c r="AQ1410" s="37"/>
    </row>
    <row r="1411" spans="43:43" x14ac:dyDescent="0.25">
      <c r="AQ1411" s="37"/>
    </row>
    <row r="1412" spans="43:43" x14ac:dyDescent="0.25">
      <c r="AQ1412" s="37"/>
    </row>
    <row r="1413" spans="43:43" x14ac:dyDescent="0.25">
      <c r="AQ1413" s="37"/>
    </row>
    <row r="1414" spans="43:43" x14ac:dyDescent="0.25">
      <c r="AQ1414" s="37"/>
    </row>
    <row r="1415" spans="43:43" x14ac:dyDescent="0.25">
      <c r="AQ1415" s="37"/>
    </row>
    <row r="1416" spans="43:43" x14ac:dyDescent="0.25">
      <c r="AQ1416" s="37"/>
    </row>
    <row r="1417" spans="43:43" x14ac:dyDescent="0.25">
      <c r="AQ1417" s="37"/>
    </row>
    <row r="1418" spans="43:43" x14ac:dyDescent="0.25">
      <c r="AQ1418" s="37"/>
    </row>
    <row r="1419" spans="43:43" x14ac:dyDescent="0.25">
      <c r="AQ1419" s="37"/>
    </row>
    <row r="1420" spans="43:43" x14ac:dyDescent="0.25">
      <c r="AQ1420" s="37"/>
    </row>
    <row r="1421" spans="43:43" x14ac:dyDescent="0.25">
      <c r="AQ1421" s="37"/>
    </row>
    <row r="1422" spans="43:43" x14ac:dyDescent="0.25">
      <c r="AQ1422" s="37"/>
    </row>
    <row r="1423" spans="43:43" x14ac:dyDescent="0.25">
      <c r="AQ1423" s="37"/>
    </row>
    <row r="1424" spans="43:43" x14ac:dyDescent="0.25">
      <c r="AQ1424" s="37"/>
    </row>
    <row r="1425" spans="43:43" x14ac:dyDescent="0.25">
      <c r="AQ1425" s="37"/>
    </row>
    <row r="1426" spans="43:43" x14ac:dyDescent="0.25">
      <c r="AQ1426" s="37"/>
    </row>
    <row r="1427" spans="43:43" x14ac:dyDescent="0.25">
      <c r="AQ1427" s="37"/>
    </row>
    <row r="1428" spans="43:43" x14ac:dyDescent="0.25">
      <c r="AQ1428" s="37"/>
    </row>
    <row r="1429" spans="43:43" x14ac:dyDescent="0.25">
      <c r="AQ1429" s="37"/>
    </row>
    <row r="1430" spans="43:43" x14ac:dyDescent="0.25">
      <c r="AQ1430" s="37"/>
    </row>
    <row r="1431" spans="43:43" x14ac:dyDescent="0.25">
      <c r="AQ1431" s="37"/>
    </row>
    <row r="1432" spans="43:43" x14ac:dyDescent="0.25">
      <c r="AQ1432" s="37"/>
    </row>
    <row r="1433" spans="43:43" x14ac:dyDescent="0.25">
      <c r="AQ1433" s="37"/>
    </row>
    <row r="1434" spans="43:43" x14ac:dyDescent="0.25">
      <c r="AQ1434" s="37"/>
    </row>
    <row r="1435" spans="43:43" x14ac:dyDescent="0.25">
      <c r="AQ1435" s="37"/>
    </row>
    <row r="1436" spans="43:43" x14ac:dyDescent="0.25">
      <c r="AQ1436" s="37"/>
    </row>
    <row r="1437" spans="43:43" x14ac:dyDescent="0.25">
      <c r="AQ1437" s="37"/>
    </row>
    <row r="1438" spans="43:43" x14ac:dyDescent="0.25">
      <c r="AQ1438" s="37"/>
    </row>
    <row r="1439" spans="43:43" x14ac:dyDescent="0.25">
      <c r="AQ1439" s="37"/>
    </row>
    <row r="1440" spans="43:43" x14ac:dyDescent="0.25">
      <c r="AQ1440" s="37"/>
    </row>
    <row r="1441" spans="43:43" x14ac:dyDescent="0.25">
      <c r="AQ1441" s="37"/>
    </row>
    <row r="1442" spans="43:43" x14ac:dyDescent="0.25">
      <c r="AQ1442" s="37"/>
    </row>
    <row r="1443" spans="43:43" x14ac:dyDescent="0.25">
      <c r="AQ1443" s="37"/>
    </row>
    <row r="1444" spans="43:43" x14ac:dyDescent="0.25">
      <c r="AQ1444" s="37"/>
    </row>
    <row r="1445" spans="43:43" x14ac:dyDescent="0.25">
      <c r="AQ1445" s="37"/>
    </row>
    <row r="1446" spans="43:43" x14ac:dyDescent="0.25">
      <c r="AQ1446" s="37"/>
    </row>
    <row r="1447" spans="43:43" x14ac:dyDescent="0.25">
      <c r="AQ1447" s="37"/>
    </row>
    <row r="1448" spans="43:43" x14ac:dyDescent="0.25">
      <c r="AQ1448" s="37"/>
    </row>
    <row r="1449" spans="43:43" x14ac:dyDescent="0.25">
      <c r="AQ1449" s="37"/>
    </row>
    <row r="1450" spans="43:43" x14ac:dyDescent="0.25">
      <c r="AQ1450" s="37"/>
    </row>
    <row r="1451" spans="43:43" x14ac:dyDescent="0.25">
      <c r="AQ1451" s="37"/>
    </row>
    <row r="1452" spans="43:43" x14ac:dyDescent="0.25">
      <c r="AQ1452" s="37"/>
    </row>
    <row r="1453" spans="43:43" x14ac:dyDescent="0.25">
      <c r="AQ1453" s="37"/>
    </row>
    <row r="1454" spans="43:43" x14ac:dyDescent="0.25">
      <c r="AQ1454" s="37"/>
    </row>
    <row r="1455" spans="43:43" x14ac:dyDescent="0.25">
      <c r="AQ1455" s="37"/>
    </row>
    <row r="1456" spans="43:43" x14ac:dyDescent="0.25">
      <c r="AQ1456" s="37"/>
    </row>
    <row r="1457" spans="43:43" x14ac:dyDescent="0.25">
      <c r="AQ1457" s="37"/>
    </row>
    <row r="1458" spans="43:43" x14ac:dyDescent="0.25">
      <c r="AQ1458" s="37"/>
    </row>
    <row r="1459" spans="43:43" x14ac:dyDescent="0.25">
      <c r="AQ1459" s="37"/>
    </row>
    <row r="1460" spans="43:43" x14ac:dyDescent="0.25">
      <c r="AQ1460" s="37"/>
    </row>
    <row r="1461" spans="43:43" x14ac:dyDescent="0.25">
      <c r="AQ1461" s="37"/>
    </row>
    <row r="1462" spans="43:43" x14ac:dyDescent="0.25">
      <c r="AQ1462" s="37"/>
    </row>
    <row r="1463" spans="43:43" x14ac:dyDescent="0.25">
      <c r="AQ1463" s="37"/>
    </row>
    <row r="1464" spans="43:43" x14ac:dyDescent="0.25">
      <c r="AQ1464" s="37"/>
    </row>
    <row r="1465" spans="43:43" x14ac:dyDescent="0.25">
      <c r="AQ1465" s="37"/>
    </row>
    <row r="1466" spans="43:43" x14ac:dyDescent="0.25">
      <c r="AQ1466" s="37"/>
    </row>
    <row r="1467" spans="43:43" x14ac:dyDescent="0.25">
      <c r="AQ1467" s="37"/>
    </row>
    <row r="1468" spans="43:43" x14ac:dyDescent="0.25">
      <c r="AQ1468" s="37"/>
    </row>
    <row r="1469" spans="43:43" x14ac:dyDescent="0.25">
      <c r="AQ1469" s="37"/>
    </row>
    <row r="1470" spans="43:43" x14ac:dyDescent="0.25">
      <c r="AQ1470" s="37"/>
    </row>
    <row r="1471" spans="43:43" x14ac:dyDescent="0.25">
      <c r="AQ1471" s="37"/>
    </row>
    <row r="1472" spans="43:43" x14ac:dyDescent="0.25">
      <c r="AQ1472" s="37"/>
    </row>
    <row r="1473" spans="43:43" x14ac:dyDescent="0.25">
      <c r="AQ1473" s="37"/>
    </row>
    <row r="1474" spans="43:43" x14ac:dyDescent="0.25">
      <c r="AQ1474" s="37"/>
    </row>
    <row r="1475" spans="43:43" x14ac:dyDescent="0.25">
      <c r="AQ1475" s="37"/>
    </row>
    <row r="1476" spans="43:43" x14ac:dyDescent="0.25">
      <c r="AQ1476" s="37"/>
    </row>
    <row r="1477" spans="43:43" x14ac:dyDescent="0.25">
      <c r="AQ1477" s="37"/>
    </row>
    <row r="1478" spans="43:43" x14ac:dyDescent="0.25">
      <c r="AQ1478" s="37"/>
    </row>
    <row r="1479" spans="43:43" x14ac:dyDescent="0.25">
      <c r="AQ1479" s="37"/>
    </row>
    <row r="1480" spans="43:43" x14ac:dyDescent="0.25">
      <c r="AQ1480" s="37"/>
    </row>
    <row r="1481" spans="43:43" x14ac:dyDescent="0.25">
      <c r="AQ1481" s="37"/>
    </row>
    <row r="1482" spans="43:43" x14ac:dyDescent="0.25">
      <c r="AQ1482" s="37"/>
    </row>
    <row r="1483" spans="43:43" x14ac:dyDescent="0.25">
      <c r="AQ1483" s="37"/>
    </row>
    <row r="1484" spans="43:43" x14ac:dyDescent="0.25">
      <c r="AQ1484" s="37"/>
    </row>
    <row r="1485" spans="43:43" x14ac:dyDescent="0.25">
      <c r="AQ1485" s="37"/>
    </row>
    <row r="1486" spans="43:43" x14ac:dyDescent="0.25">
      <c r="AQ1486" s="37"/>
    </row>
    <row r="1487" spans="43:43" x14ac:dyDescent="0.25">
      <c r="AQ1487" s="37"/>
    </row>
    <row r="1488" spans="43:43" x14ac:dyDescent="0.25">
      <c r="AQ1488" s="37"/>
    </row>
    <row r="1489" spans="43:43" x14ac:dyDescent="0.25">
      <c r="AQ1489" s="37"/>
    </row>
    <row r="1490" spans="43:43" x14ac:dyDescent="0.25">
      <c r="AQ1490" s="37"/>
    </row>
    <row r="1491" spans="43:43" x14ac:dyDescent="0.25">
      <c r="AQ1491" s="37"/>
    </row>
    <row r="1492" spans="43:43" x14ac:dyDescent="0.25">
      <c r="AQ1492" s="37"/>
    </row>
    <row r="1493" spans="43:43" x14ac:dyDescent="0.25">
      <c r="AQ1493" s="37"/>
    </row>
    <row r="1494" spans="43:43" x14ac:dyDescent="0.25">
      <c r="AQ1494" s="37"/>
    </row>
    <row r="1495" spans="43:43" x14ac:dyDescent="0.25">
      <c r="AQ1495" s="37"/>
    </row>
    <row r="1496" spans="43:43" x14ac:dyDescent="0.25">
      <c r="AQ1496" s="37"/>
    </row>
    <row r="1497" spans="43:43" x14ac:dyDescent="0.25">
      <c r="AQ1497" s="37"/>
    </row>
    <row r="1498" spans="43:43" x14ac:dyDescent="0.25">
      <c r="AQ1498" s="37"/>
    </row>
    <row r="1499" spans="43:43" x14ac:dyDescent="0.25">
      <c r="AQ1499" s="37"/>
    </row>
    <row r="1500" spans="43:43" x14ac:dyDescent="0.25">
      <c r="AQ1500" s="37"/>
    </row>
    <row r="1501" spans="43:43" x14ac:dyDescent="0.25">
      <c r="AQ1501" s="37"/>
    </row>
    <row r="1502" spans="43:43" x14ac:dyDescent="0.25">
      <c r="AQ1502" s="37"/>
    </row>
    <row r="1503" spans="43:43" x14ac:dyDescent="0.25">
      <c r="AQ1503" s="37"/>
    </row>
    <row r="1504" spans="43:43" x14ac:dyDescent="0.25">
      <c r="AQ1504" s="37"/>
    </row>
    <row r="1505" spans="43:43" x14ac:dyDescent="0.25">
      <c r="AQ1505" s="37"/>
    </row>
    <row r="1506" spans="43:43" x14ac:dyDescent="0.25">
      <c r="AQ1506" s="37"/>
    </row>
    <row r="1507" spans="43:43" x14ac:dyDescent="0.25">
      <c r="AQ1507" s="37"/>
    </row>
    <row r="1508" spans="43:43" x14ac:dyDescent="0.25">
      <c r="AQ1508" s="37"/>
    </row>
    <row r="1509" spans="43:43" x14ac:dyDescent="0.25">
      <c r="AQ1509" s="37"/>
    </row>
    <row r="1510" spans="43:43" x14ac:dyDescent="0.25">
      <c r="AQ1510" s="37"/>
    </row>
    <row r="1511" spans="43:43" x14ac:dyDescent="0.25">
      <c r="AQ1511" s="37"/>
    </row>
    <row r="1512" spans="43:43" x14ac:dyDescent="0.25">
      <c r="AQ1512" s="37"/>
    </row>
    <row r="1513" spans="43:43" x14ac:dyDescent="0.25">
      <c r="AQ1513" s="37"/>
    </row>
    <row r="1514" spans="43:43" x14ac:dyDescent="0.25">
      <c r="AQ1514" s="37"/>
    </row>
    <row r="1515" spans="43:43" x14ac:dyDescent="0.25">
      <c r="AQ1515" s="37"/>
    </row>
    <row r="1516" spans="43:43" x14ac:dyDescent="0.25">
      <c r="AQ1516" s="37"/>
    </row>
    <row r="1517" spans="43:43" x14ac:dyDescent="0.25">
      <c r="AQ1517" s="37"/>
    </row>
    <row r="1518" spans="43:43" x14ac:dyDescent="0.25">
      <c r="AQ1518" s="37"/>
    </row>
    <row r="1519" spans="43:43" x14ac:dyDescent="0.25">
      <c r="AQ1519" s="37"/>
    </row>
    <row r="1520" spans="43:43" x14ac:dyDescent="0.25">
      <c r="AQ1520" s="37"/>
    </row>
    <row r="1521" spans="43:43" x14ac:dyDescent="0.25">
      <c r="AQ1521" s="37"/>
    </row>
    <row r="1522" spans="43:43" x14ac:dyDescent="0.25">
      <c r="AQ1522" s="37"/>
    </row>
    <row r="1523" spans="43:43" x14ac:dyDescent="0.25">
      <c r="AQ1523" s="37"/>
    </row>
    <row r="1524" spans="43:43" x14ac:dyDescent="0.25">
      <c r="AQ1524" s="37"/>
    </row>
    <row r="1525" spans="43:43" x14ac:dyDescent="0.25">
      <c r="AQ1525" s="37"/>
    </row>
    <row r="1526" spans="43:43" x14ac:dyDescent="0.25">
      <c r="AQ1526" s="37"/>
    </row>
    <row r="1527" spans="43:43" x14ac:dyDescent="0.25">
      <c r="AQ1527" s="37"/>
    </row>
    <row r="1528" spans="43:43" x14ac:dyDescent="0.25">
      <c r="AQ1528" s="37"/>
    </row>
    <row r="1529" spans="43:43" x14ac:dyDescent="0.25">
      <c r="AQ1529" s="37"/>
    </row>
    <row r="1530" spans="43:43" x14ac:dyDescent="0.25">
      <c r="AQ1530" s="37"/>
    </row>
    <row r="1531" spans="43:43" x14ac:dyDescent="0.25">
      <c r="AQ1531" s="37"/>
    </row>
    <row r="1532" spans="43:43" x14ac:dyDescent="0.25">
      <c r="AQ1532" s="37"/>
    </row>
    <row r="1533" spans="43:43" x14ac:dyDescent="0.25">
      <c r="AQ1533" s="37"/>
    </row>
    <row r="1534" spans="43:43" x14ac:dyDescent="0.25">
      <c r="AQ1534" s="37"/>
    </row>
    <row r="1535" spans="43:43" x14ac:dyDescent="0.25">
      <c r="AQ1535" s="37"/>
    </row>
    <row r="1536" spans="43:43" x14ac:dyDescent="0.25">
      <c r="AQ1536" s="37"/>
    </row>
    <row r="1537" spans="43:43" x14ac:dyDescent="0.25">
      <c r="AQ1537" s="37"/>
    </row>
    <row r="1538" spans="43:43" x14ac:dyDescent="0.25">
      <c r="AQ1538" s="37"/>
    </row>
    <row r="1539" spans="43:43" x14ac:dyDescent="0.25">
      <c r="AQ1539" s="37"/>
    </row>
    <row r="1540" spans="43:43" x14ac:dyDescent="0.25">
      <c r="AQ1540" s="37"/>
    </row>
    <row r="1541" spans="43:43" x14ac:dyDescent="0.25">
      <c r="AQ1541" s="37"/>
    </row>
    <row r="1542" spans="43:43" x14ac:dyDescent="0.25">
      <c r="AQ1542" s="37"/>
    </row>
    <row r="1543" spans="43:43" x14ac:dyDescent="0.25">
      <c r="AQ1543" s="37"/>
    </row>
    <row r="1544" spans="43:43" x14ac:dyDescent="0.25">
      <c r="AQ1544" s="37"/>
    </row>
    <row r="1545" spans="43:43" x14ac:dyDescent="0.25">
      <c r="AQ1545" s="37"/>
    </row>
    <row r="1546" spans="43:43" x14ac:dyDescent="0.25">
      <c r="AQ1546" s="37"/>
    </row>
    <row r="1547" spans="43:43" x14ac:dyDescent="0.25">
      <c r="AQ1547" s="37"/>
    </row>
    <row r="1548" spans="43:43" x14ac:dyDescent="0.25">
      <c r="AQ1548" s="37"/>
    </row>
    <row r="1549" spans="43:43" x14ac:dyDescent="0.25">
      <c r="AQ1549" s="37"/>
    </row>
    <row r="1550" spans="43:43" x14ac:dyDescent="0.25">
      <c r="AQ1550" s="37"/>
    </row>
    <row r="1551" spans="43:43" x14ac:dyDescent="0.25">
      <c r="AQ1551" s="37"/>
    </row>
    <row r="1552" spans="43:43" x14ac:dyDescent="0.25">
      <c r="AQ1552" s="37"/>
    </row>
    <row r="1553" spans="43:43" x14ac:dyDescent="0.25">
      <c r="AQ1553" s="37"/>
    </row>
    <row r="1554" spans="43:43" x14ac:dyDescent="0.25">
      <c r="AQ1554" s="37"/>
    </row>
    <row r="1555" spans="43:43" x14ac:dyDescent="0.25">
      <c r="AQ1555" s="37"/>
    </row>
    <row r="1556" spans="43:43" x14ac:dyDescent="0.25">
      <c r="AQ1556" s="37"/>
    </row>
    <row r="1557" spans="43:43" x14ac:dyDescent="0.25">
      <c r="AQ1557" s="37"/>
    </row>
    <row r="1558" spans="43:43" x14ac:dyDescent="0.25">
      <c r="AQ1558" s="37"/>
    </row>
    <row r="1559" spans="43:43" x14ac:dyDescent="0.25">
      <c r="AQ1559" s="37"/>
    </row>
    <row r="1560" spans="43:43" x14ac:dyDescent="0.25">
      <c r="AQ1560" s="37"/>
    </row>
    <row r="1561" spans="43:43" x14ac:dyDescent="0.25">
      <c r="AQ1561" s="37"/>
    </row>
    <row r="1562" spans="43:43" x14ac:dyDescent="0.25">
      <c r="AQ1562" s="37"/>
    </row>
    <row r="1563" spans="43:43" x14ac:dyDescent="0.25">
      <c r="AQ1563" s="37"/>
    </row>
    <row r="1564" spans="43:43" x14ac:dyDescent="0.25">
      <c r="AQ1564" s="37"/>
    </row>
    <row r="1565" spans="43:43" x14ac:dyDescent="0.25">
      <c r="AQ1565" s="37"/>
    </row>
    <row r="1566" spans="43:43" x14ac:dyDescent="0.25">
      <c r="AQ1566" s="37"/>
    </row>
    <row r="1567" spans="43:43" x14ac:dyDescent="0.25">
      <c r="AQ1567" s="37"/>
    </row>
    <row r="1568" spans="43:43" x14ac:dyDescent="0.25">
      <c r="AQ1568" s="37"/>
    </row>
    <row r="1569" spans="43:43" x14ac:dyDescent="0.25">
      <c r="AQ1569" s="37"/>
    </row>
    <row r="1570" spans="43:43" x14ac:dyDescent="0.25">
      <c r="AQ1570" s="37"/>
    </row>
    <row r="1571" spans="43:43" x14ac:dyDescent="0.25">
      <c r="AQ1571" s="37"/>
    </row>
    <row r="1572" spans="43:43" x14ac:dyDescent="0.25">
      <c r="AQ1572" s="37"/>
    </row>
    <row r="1573" spans="43:43" x14ac:dyDescent="0.25">
      <c r="AQ1573" s="37"/>
    </row>
    <row r="1574" spans="43:43" x14ac:dyDescent="0.25">
      <c r="AQ1574" s="37"/>
    </row>
    <row r="1575" spans="43:43" x14ac:dyDescent="0.25">
      <c r="AQ1575" s="37"/>
    </row>
    <row r="1576" spans="43:43" x14ac:dyDescent="0.25">
      <c r="AQ1576" s="37"/>
    </row>
    <row r="1577" spans="43:43" x14ac:dyDescent="0.25">
      <c r="AQ1577" s="37"/>
    </row>
    <row r="1578" spans="43:43" x14ac:dyDescent="0.25">
      <c r="AQ1578" s="37"/>
    </row>
    <row r="1579" spans="43:43" x14ac:dyDescent="0.25">
      <c r="AQ1579" s="37"/>
    </row>
    <row r="1580" spans="43:43" x14ac:dyDescent="0.25">
      <c r="AQ1580" s="37"/>
    </row>
    <row r="1581" spans="43:43" x14ac:dyDescent="0.25">
      <c r="AQ1581" s="37"/>
    </row>
    <row r="1582" spans="43:43" x14ac:dyDescent="0.25">
      <c r="AQ1582" s="37"/>
    </row>
    <row r="1583" spans="43:43" x14ac:dyDescent="0.25">
      <c r="AQ1583" s="37"/>
    </row>
    <row r="1584" spans="43:43" x14ac:dyDescent="0.25">
      <c r="AQ1584" s="37"/>
    </row>
    <row r="1585" spans="43:43" x14ac:dyDescent="0.25">
      <c r="AQ1585" s="37"/>
    </row>
    <row r="1586" spans="43:43" x14ac:dyDescent="0.25">
      <c r="AQ1586" s="37"/>
    </row>
    <row r="1587" spans="43:43" x14ac:dyDescent="0.25">
      <c r="AQ1587" s="37"/>
    </row>
    <row r="1588" spans="43:43" x14ac:dyDescent="0.25">
      <c r="AQ1588" s="37"/>
    </row>
    <row r="1589" spans="43:43" x14ac:dyDescent="0.25">
      <c r="AQ1589" s="37"/>
    </row>
    <row r="1590" spans="43:43" x14ac:dyDescent="0.25">
      <c r="AQ1590" s="37"/>
    </row>
    <row r="1591" spans="43:43" x14ac:dyDescent="0.25">
      <c r="AQ1591" s="37"/>
    </row>
    <row r="1592" spans="43:43" x14ac:dyDescent="0.25">
      <c r="AQ1592" s="37"/>
    </row>
    <row r="1593" spans="43:43" x14ac:dyDescent="0.25">
      <c r="AQ1593" s="37"/>
    </row>
    <row r="1594" spans="43:43" x14ac:dyDescent="0.25">
      <c r="AQ1594" s="37"/>
    </row>
    <row r="1595" spans="43:43" x14ac:dyDescent="0.25">
      <c r="AQ1595" s="37"/>
    </row>
    <row r="1596" spans="43:43" x14ac:dyDescent="0.25">
      <c r="AQ1596" s="37"/>
    </row>
    <row r="1597" spans="43:43" x14ac:dyDescent="0.25">
      <c r="AQ1597" s="37"/>
    </row>
    <row r="1598" spans="43:43" x14ac:dyDescent="0.25">
      <c r="AQ1598" s="37"/>
    </row>
    <row r="1599" spans="43:43" x14ac:dyDescent="0.25">
      <c r="AQ1599" s="37"/>
    </row>
    <row r="1600" spans="43:43" x14ac:dyDescent="0.25">
      <c r="AQ1600" s="37"/>
    </row>
    <row r="1601" spans="43:43" x14ac:dyDescent="0.25">
      <c r="AQ1601" s="37"/>
    </row>
    <row r="1602" spans="43:43" x14ac:dyDescent="0.25">
      <c r="AQ1602" s="37"/>
    </row>
    <row r="1603" spans="43:43" x14ac:dyDescent="0.25">
      <c r="AQ1603" s="37"/>
    </row>
    <row r="1604" spans="43:43" x14ac:dyDescent="0.25">
      <c r="AQ1604" s="37"/>
    </row>
    <row r="1605" spans="43:43" x14ac:dyDescent="0.25">
      <c r="AQ1605" s="37"/>
    </row>
    <row r="1606" spans="43:43" x14ac:dyDescent="0.25">
      <c r="AQ1606" s="37"/>
    </row>
    <row r="1607" spans="43:43" x14ac:dyDescent="0.25">
      <c r="AQ1607" s="37"/>
    </row>
    <row r="1608" spans="43:43" x14ac:dyDescent="0.25">
      <c r="AQ1608" s="37"/>
    </row>
    <row r="1609" spans="43:43" x14ac:dyDescent="0.25">
      <c r="AQ1609" s="37"/>
    </row>
    <row r="1610" spans="43:43" x14ac:dyDescent="0.25">
      <c r="AQ1610" s="37"/>
    </row>
    <row r="1611" spans="43:43" x14ac:dyDescent="0.25">
      <c r="AQ1611" s="37"/>
    </row>
    <row r="1612" spans="43:43" x14ac:dyDescent="0.25">
      <c r="AQ1612" s="37"/>
    </row>
    <row r="1613" spans="43:43" x14ac:dyDescent="0.25">
      <c r="AQ1613" s="37"/>
    </row>
    <row r="1614" spans="43:43" x14ac:dyDescent="0.25">
      <c r="AQ1614" s="37"/>
    </row>
    <row r="1615" spans="43:43" x14ac:dyDescent="0.25">
      <c r="AQ1615" s="37"/>
    </row>
    <row r="1616" spans="43:43" x14ac:dyDescent="0.25">
      <c r="AQ1616" s="37"/>
    </row>
    <row r="1617" spans="43:43" x14ac:dyDescent="0.25">
      <c r="AQ1617" s="37"/>
    </row>
    <row r="1618" spans="43:43" x14ac:dyDescent="0.25">
      <c r="AQ1618" s="37"/>
    </row>
    <row r="1619" spans="43:43" x14ac:dyDescent="0.25">
      <c r="AQ1619" s="37"/>
    </row>
    <row r="1620" spans="43:43" x14ac:dyDescent="0.25">
      <c r="AQ1620" s="37"/>
    </row>
    <row r="1621" spans="43:43" x14ac:dyDescent="0.25">
      <c r="AQ1621" s="37"/>
    </row>
    <row r="1622" spans="43:43" x14ac:dyDescent="0.25">
      <c r="AQ1622" s="37"/>
    </row>
    <row r="1623" spans="43:43" x14ac:dyDescent="0.25">
      <c r="AQ1623" s="37"/>
    </row>
    <row r="1624" spans="43:43" x14ac:dyDescent="0.25">
      <c r="AQ1624" s="37"/>
    </row>
    <row r="1625" spans="43:43" x14ac:dyDescent="0.25">
      <c r="AQ1625" s="37"/>
    </row>
    <row r="1626" spans="43:43" x14ac:dyDescent="0.25">
      <c r="AQ1626" s="37"/>
    </row>
    <row r="1627" spans="43:43" x14ac:dyDescent="0.25">
      <c r="AQ1627" s="37"/>
    </row>
    <row r="1628" spans="43:43" x14ac:dyDescent="0.25">
      <c r="AQ1628" s="37"/>
    </row>
    <row r="1629" spans="43:43" x14ac:dyDescent="0.25">
      <c r="AQ1629" s="37"/>
    </row>
    <row r="1630" spans="43:43" x14ac:dyDescent="0.25">
      <c r="AQ1630" s="37"/>
    </row>
    <row r="1631" spans="43:43" x14ac:dyDescent="0.25">
      <c r="AQ1631" s="37"/>
    </row>
    <row r="1632" spans="43:43" x14ac:dyDescent="0.25">
      <c r="AQ1632" s="37"/>
    </row>
    <row r="1633" spans="43:43" x14ac:dyDescent="0.25">
      <c r="AQ1633" s="37"/>
    </row>
    <row r="1634" spans="43:43" x14ac:dyDescent="0.25">
      <c r="AQ1634" s="37"/>
    </row>
    <row r="1635" spans="43:43" x14ac:dyDescent="0.25">
      <c r="AQ1635" s="37"/>
    </row>
    <row r="1636" spans="43:43" x14ac:dyDescent="0.25">
      <c r="AQ1636" s="37"/>
    </row>
    <row r="1637" spans="43:43" x14ac:dyDescent="0.25">
      <c r="AQ1637" s="37"/>
    </row>
    <row r="1638" spans="43:43" x14ac:dyDescent="0.25">
      <c r="AQ1638" s="37"/>
    </row>
    <row r="1639" spans="43:43" x14ac:dyDescent="0.25">
      <c r="AQ1639" s="37"/>
    </row>
    <row r="1640" spans="43:43" x14ac:dyDescent="0.25">
      <c r="AQ1640" s="37"/>
    </row>
    <row r="1641" spans="43:43" x14ac:dyDescent="0.25">
      <c r="AQ1641" s="37"/>
    </row>
    <row r="1642" spans="43:43" x14ac:dyDescent="0.25">
      <c r="AQ1642" s="37"/>
    </row>
    <row r="1643" spans="43:43" x14ac:dyDescent="0.25">
      <c r="AQ1643" s="37"/>
    </row>
    <row r="1644" spans="43:43" x14ac:dyDescent="0.25">
      <c r="AQ1644" s="37"/>
    </row>
    <row r="1645" spans="43:43" x14ac:dyDescent="0.25">
      <c r="AQ1645" s="37"/>
    </row>
    <row r="1646" spans="43:43" x14ac:dyDescent="0.25">
      <c r="AQ1646" s="37"/>
    </row>
    <row r="1647" spans="43:43" x14ac:dyDescent="0.25">
      <c r="AQ1647" s="37"/>
    </row>
    <row r="1648" spans="43:43" x14ac:dyDescent="0.25">
      <c r="AQ1648" s="37"/>
    </row>
    <row r="1649" spans="43:43" x14ac:dyDescent="0.25">
      <c r="AQ1649" s="37"/>
    </row>
    <row r="1650" spans="43:43" x14ac:dyDescent="0.25">
      <c r="AQ1650" s="37"/>
    </row>
    <row r="1651" spans="43:43" x14ac:dyDescent="0.25">
      <c r="AQ1651" s="37"/>
    </row>
    <row r="1652" spans="43:43" x14ac:dyDescent="0.25">
      <c r="AQ1652" s="37"/>
    </row>
    <row r="1653" spans="43:43" x14ac:dyDescent="0.25">
      <c r="AQ1653" s="37"/>
    </row>
    <row r="1654" spans="43:43" x14ac:dyDescent="0.25">
      <c r="AQ1654" s="37"/>
    </row>
    <row r="1655" spans="43:43" x14ac:dyDescent="0.25">
      <c r="AQ1655" s="37"/>
    </row>
    <row r="1656" spans="43:43" x14ac:dyDescent="0.25">
      <c r="AQ1656" s="37"/>
    </row>
    <row r="1657" spans="43:43" x14ac:dyDescent="0.25">
      <c r="AQ1657" s="37"/>
    </row>
    <row r="1658" spans="43:43" x14ac:dyDescent="0.25">
      <c r="AQ1658" s="37"/>
    </row>
    <row r="1659" spans="43:43" x14ac:dyDescent="0.25">
      <c r="AQ1659" s="37"/>
    </row>
    <row r="1660" spans="43:43" x14ac:dyDescent="0.25">
      <c r="AQ1660" s="37"/>
    </row>
    <row r="1661" spans="43:43" x14ac:dyDescent="0.25">
      <c r="AQ1661" s="37"/>
    </row>
    <row r="1662" spans="43:43" x14ac:dyDescent="0.25">
      <c r="AQ1662" s="37"/>
    </row>
    <row r="1663" spans="43:43" x14ac:dyDescent="0.25">
      <c r="AQ1663" s="37"/>
    </row>
    <row r="1664" spans="43:43" x14ac:dyDescent="0.25">
      <c r="AQ1664" s="37"/>
    </row>
    <row r="1665" spans="43:43" x14ac:dyDescent="0.25">
      <c r="AQ1665" s="37"/>
    </row>
    <row r="1666" spans="43:43" x14ac:dyDescent="0.25">
      <c r="AQ1666" s="37"/>
    </row>
    <row r="1667" spans="43:43" x14ac:dyDescent="0.25">
      <c r="AQ1667" s="37"/>
    </row>
    <row r="1668" spans="43:43" x14ac:dyDescent="0.25">
      <c r="AQ1668" s="37"/>
    </row>
    <row r="1669" spans="43:43" x14ac:dyDescent="0.25">
      <c r="AQ1669" s="37"/>
    </row>
    <row r="1670" spans="43:43" x14ac:dyDescent="0.25">
      <c r="AQ1670" s="37"/>
    </row>
    <row r="1671" spans="43:43" x14ac:dyDescent="0.25">
      <c r="AQ1671" s="37"/>
    </row>
    <row r="1672" spans="43:43" x14ac:dyDescent="0.25">
      <c r="AQ1672" s="37"/>
    </row>
    <row r="1673" spans="43:43" x14ac:dyDescent="0.25">
      <c r="AQ1673" s="37"/>
    </row>
    <row r="1674" spans="43:43" x14ac:dyDescent="0.25">
      <c r="AQ1674" s="37"/>
    </row>
    <row r="1675" spans="43:43" x14ac:dyDescent="0.25">
      <c r="AQ1675" s="37"/>
    </row>
    <row r="1676" spans="43:43" x14ac:dyDescent="0.25">
      <c r="AQ1676" s="37"/>
    </row>
    <row r="1677" spans="43:43" x14ac:dyDescent="0.25">
      <c r="AQ1677" s="37"/>
    </row>
    <row r="1678" spans="43:43" x14ac:dyDescent="0.25">
      <c r="AQ1678" s="37"/>
    </row>
    <row r="1679" spans="43:43" x14ac:dyDescent="0.25">
      <c r="AQ1679" s="37"/>
    </row>
    <row r="1680" spans="43:43" x14ac:dyDescent="0.25">
      <c r="AQ1680" s="37"/>
    </row>
    <row r="1681" spans="43:43" x14ac:dyDescent="0.25">
      <c r="AQ1681" s="37"/>
    </row>
    <row r="1682" spans="43:43" x14ac:dyDescent="0.25">
      <c r="AQ1682" s="37"/>
    </row>
    <row r="1683" spans="43:43" x14ac:dyDescent="0.25">
      <c r="AQ1683" s="37"/>
    </row>
    <row r="1684" spans="43:43" x14ac:dyDescent="0.25">
      <c r="AQ1684" s="37"/>
    </row>
    <row r="1685" spans="43:43" x14ac:dyDescent="0.25">
      <c r="AQ1685" s="37"/>
    </row>
    <row r="1686" spans="43:43" x14ac:dyDescent="0.25">
      <c r="AQ1686" s="37"/>
    </row>
    <row r="1687" spans="43:43" x14ac:dyDescent="0.25">
      <c r="AQ1687" s="37"/>
    </row>
    <row r="1688" spans="43:43" x14ac:dyDescent="0.25">
      <c r="AQ1688" s="37"/>
    </row>
    <row r="1689" spans="43:43" x14ac:dyDescent="0.25">
      <c r="AQ1689" s="37"/>
    </row>
    <row r="1690" spans="43:43" x14ac:dyDescent="0.25">
      <c r="AQ1690" s="37"/>
    </row>
    <row r="1691" spans="43:43" x14ac:dyDescent="0.25">
      <c r="AQ1691" s="37"/>
    </row>
    <row r="1692" spans="43:43" x14ac:dyDescent="0.25">
      <c r="AQ1692" s="37"/>
    </row>
    <row r="1693" spans="43:43" x14ac:dyDescent="0.25">
      <c r="AQ1693" s="37"/>
    </row>
    <row r="1694" spans="43:43" x14ac:dyDescent="0.25">
      <c r="AQ1694" s="37"/>
    </row>
    <row r="1695" spans="43:43" x14ac:dyDescent="0.25">
      <c r="AQ1695" s="37"/>
    </row>
    <row r="1696" spans="43:43" x14ac:dyDescent="0.25">
      <c r="AQ1696" s="37"/>
    </row>
    <row r="1697" spans="43:43" x14ac:dyDescent="0.25">
      <c r="AQ1697" s="37"/>
    </row>
    <row r="1698" spans="43:43" x14ac:dyDescent="0.25">
      <c r="AQ1698" s="37"/>
    </row>
    <row r="1699" spans="43:43" x14ac:dyDescent="0.25">
      <c r="AQ1699" s="37"/>
    </row>
    <row r="1700" spans="43:43" x14ac:dyDescent="0.25">
      <c r="AQ1700" s="37"/>
    </row>
    <row r="1701" spans="43:43" x14ac:dyDescent="0.25">
      <c r="AQ1701" s="37"/>
    </row>
    <row r="1702" spans="43:43" x14ac:dyDescent="0.25">
      <c r="AQ1702" s="37"/>
    </row>
    <row r="1703" spans="43:43" x14ac:dyDescent="0.25">
      <c r="AQ1703" s="37"/>
    </row>
    <row r="1704" spans="43:43" x14ac:dyDescent="0.25">
      <c r="AQ1704" s="37"/>
    </row>
    <row r="1705" spans="43:43" x14ac:dyDescent="0.25">
      <c r="AQ1705" s="37"/>
    </row>
    <row r="1706" spans="43:43" x14ac:dyDescent="0.25">
      <c r="AQ1706" s="37"/>
    </row>
    <row r="1707" spans="43:43" x14ac:dyDescent="0.25">
      <c r="AQ1707" s="37"/>
    </row>
    <row r="1708" spans="43:43" x14ac:dyDescent="0.25">
      <c r="AQ1708" s="37"/>
    </row>
    <row r="1709" spans="43:43" x14ac:dyDescent="0.25">
      <c r="AQ1709" s="37"/>
    </row>
    <row r="1710" spans="43:43" x14ac:dyDescent="0.25">
      <c r="AQ1710" s="37"/>
    </row>
    <row r="1711" spans="43:43" x14ac:dyDescent="0.25">
      <c r="AQ1711" s="37"/>
    </row>
    <row r="1712" spans="43:43" x14ac:dyDescent="0.25">
      <c r="AQ1712" s="37"/>
    </row>
    <row r="1713" spans="43:43" x14ac:dyDescent="0.25">
      <c r="AQ1713" s="37"/>
    </row>
    <row r="1714" spans="43:43" x14ac:dyDescent="0.25">
      <c r="AQ1714" s="37"/>
    </row>
    <row r="1715" spans="43:43" x14ac:dyDescent="0.25">
      <c r="AQ1715" s="37"/>
    </row>
    <row r="1716" spans="43:43" x14ac:dyDescent="0.25">
      <c r="AQ1716" s="37"/>
    </row>
    <row r="1717" spans="43:43" x14ac:dyDescent="0.25">
      <c r="AQ1717" s="37"/>
    </row>
    <row r="1718" spans="43:43" x14ac:dyDescent="0.25">
      <c r="AQ1718" s="37"/>
    </row>
    <row r="1719" spans="43:43" x14ac:dyDescent="0.25">
      <c r="AQ1719" s="37"/>
    </row>
    <row r="1720" spans="43:43" x14ac:dyDescent="0.25">
      <c r="AQ1720" s="37"/>
    </row>
    <row r="1721" spans="43:43" x14ac:dyDescent="0.25">
      <c r="AQ1721" s="37"/>
    </row>
    <row r="1722" spans="43:43" x14ac:dyDescent="0.25">
      <c r="AQ1722" s="37"/>
    </row>
    <row r="1723" spans="43:43" x14ac:dyDescent="0.25">
      <c r="AQ1723" s="37"/>
    </row>
    <row r="1724" spans="43:43" x14ac:dyDescent="0.25">
      <c r="AQ1724" s="37"/>
    </row>
    <row r="1725" spans="43:43" x14ac:dyDescent="0.25">
      <c r="AQ1725" s="37"/>
    </row>
    <row r="1726" spans="43:43" x14ac:dyDescent="0.25">
      <c r="AQ1726" s="37"/>
    </row>
    <row r="1727" spans="43:43" x14ac:dyDescent="0.25">
      <c r="AQ1727" s="37"/>
    </row>
    <row r="1728" spans="43:43" x14ac:dyDescent="0.25">
      <c r="AQ1728" s="37"/>
    </row>
    <row r="1729" spans="43:43" x14ac:dyDescent="0.25">
      <c r="AQ1729" s="37"/>
    </row>
    <row r="1730" spans="43:43" x14ac:dyDescent="0.25">
      <c r="AQ1730" s="37"/>
    </row>
    <row r="1731" spans="43:43" x14ac:dyDescent="0.25">
      <c r="AQ1731" s="37"/>
    </row>
    <row r="1732" spans="43:43" x14ac:dyDescent="0.25">
      <c r="AQ1732" s="37"/>
    </row>
    <row r="1733" spans="43:43" x14ac:dyDescent="0.25">
      <c r="AQ1733" s="37"/>
    </row>
    <row r="1734" spans="43:43" x14ac:dyDescent="0.25">
      <c r="AQ1734" s="37"/>
    </row>
    <row r="1735" spans="43:43" x14ac:dyDescent="0.25">
      <c r="AQ1735" s="37"/>
    </row>
    <row r="1736" spans="43:43" x14ac:dyDescent="0.25">
      <c r="AQ1736" s="37"/>
    </row>
    <row r="1737" spans="43:43" x14ac:dyDescent="0.25">
      <c r="AQ1737" s="37"/>
    </row>
    <row r="1738" spans="43:43" x14ac:dyDescent="0.25">
      <c r="AQ1738" s="37"/>
    </row>
    <row r="1739" spans="43:43" x14ac:dyDescent="0.25">
      <c r="AQ1739" s="37"/>
    </row>
    <row r="1740" spans="43:43" x14ac:dyDescent="0.25">
      <c r="AQ1740" s="37"/>
    </row>
    <row r="1741" spans="43:43" x14ac:dyDescent="0.25">
      <c r="AQ1741" s="37"/>
    </row>
    <row r="1742" spans="43:43" x14ac:dyDescent="0.25">
      <c r="AQ1742" s="37"/>
    </row>
    <row r="1743" spans="43:43" x14ac:dyDescent="0.25">
      <c r="AQ1743" s="37"/>
    </row>
    <row r="1744" spans="43:43" x14ac:dyDescent="0.25">
      <c r="AQ1744" s="37"/>
    </row>
    <row r="1745" spans="43:43" x14ac:dyDescent="0.25">
      <c r="AQ1745" s="37"/>
    </row>
    <row r="1746" spans="43:43" x14ac:dyDescent="0.25">
      <c r="AQ1746" s="37"/>
    </row>
    <row r="1747" spans="43:43" x14ac:dyDescent="0.25">
      <c r="AQ1747" s="37"/>
    </row>
    <row r="1748" spans="43:43" x14ac:dyDescent="0.25">
      <c r="AQ1748" s="37"/>
    </row>
    <row r="1749" spans="43:43" x14ac:dyDescent="0.25">
      <c r="AQ1749" s="37"/>
    </row>
    <row r="1750" spans="43:43" x14ac:dyDescent="0.25">
      <c r="AQ1750" s="37"/>
    </row>
    <row r="1751" spans="43:43" x14ac:dyDescent="0.25">
      <c r="AQ1751" s="37"/>
    </row>
    <row r="1752" spans="43:43" x14ac:dyDescent="0.25">
      <c r="AQ1752" s="37"/>
    </row>
    <row r="1753" spans="43:43" x14ac:dyDescent="0.25">
      <c r="AQ1753" s="37"/>
    </row>
    <row r="1754" spans="43:43" x14ac:dyDescent="0.25">
      <c r="AQ1754" s="37"/>
    </row>
    <row r="1755" spans="43:43" x14ac:dyDescent="0.25">
      <c r="AQ1755" s="37"/>
    </row>
    <row r="1756" spans="43:43" x14ac:dyDescent="0.25">
      <c r="AQ1756" s="37"/>
    </row>
    <row r="1757" spans="43:43" x14ac:dyDescent="0.25">
      <c r="AQ1757" s="37"/>
    </row>
    <row r="1758" spans="43:43" x14ac:dyDescent="0.25">
      <c r="AQ1758" s="37"/>
    </row>
    <row r="1759" spans="43:43" x14ac:dyDescent="0.25">
      <c r="AQ1759" s="37"/>
    </row>
    <row r="1760" spans="43:43" x14ac:dyDescent="0.25">
      <c r="AQ1760" s="37"/>
    </row>
    <row r="1761" spans="43:43" x14ac:dyDescent="0.25">
      <c r="AQ1761" s="37"/>
    </row>
    <row r="1762" spans="43:43" x14ac:dyDescent="0.25">
      <c r="AQ1762" s="37"/>
    </row>
    <row r="1763" spans="43:43" x14ac:dyDescent="0.25">
      <c r="AQ1763" s="37"/>
    </row>
    <row r="1764" spans="43:43" x14ac:dyDescent="0.25">
      <c r="AQ1764" s="37"/>
    </row>
    <row r="1765" spans="43:43" x14ac:dyDescent="0.25">
      <c r="AQ1765" s="37"/>
    </row>
    <row r="1766" spans="43:43" x14ac:dyDescent="0.25">
      <c r="AQ1766" s="37"/>
    </row>
    <row r="1767" spans="43:43" x14ac:dyDescent="0.25">
      <c r="AQ1767" s="37"/>
    </row>
    <row r="1768" spans="43:43" x14ac:dyDescent="0.25">
      <c r="AQ1768" s="37"/>
    </row>
    <row r="1769" spans="43:43" x14ac:dyDescent="0.25">
      <c r="AQ1769" s="37"/>
    </row>
    <row r="1770" spans="43:43" x14ac:dyDescent="0.25">
      <c r="AQ1770" s="37"/>
    </row>
    <row r="1771" spans="43:43" x14ac:dyDescent="0.25">
      <c r="AQ1771" s="37"/>
    </row>
    <row r="1772" spans="43:43" x14ac:dyDescent="0.25">
      <c r="AQ1772" s="37"/>
    </row>
    <row r="1773" spans="43:43" x14ac:dyDescent="0.25">
      <c r="AQ1773" s="37"/>
    </row>
    <row r="1774" spans="43:43" x14ac:dyDescent="0.25">
      <c r="AQ1774" s="37"/>
    </row>
    <row r="1775" spans="43:43" x14ac:dyDescent="0.25">
      <c r="AQ1775" s="37"/>
    </row>
    <row r="1776" spans="43:43" x14ac:dyDescent="0.25">
      <c r="AQ1776" s="37"/>
    </row>
    <row r="1777" spans="43:43" x14ac:dyDescent="0.25">
      <c r="AQ1777" s="37"/>
    </row>
    <row r="1778" spans="43:43" x14ac:dyDescent="0.25">
      <c r="AQ1778" s="37"/>
    </row>
    <row r="1779" spans="43:43" x14ac:dyDescent="0.25">
      <c r="AQ1779" s="37"/>
    </row>
    <row r="1780" spans="43:43" x14ac:dyDescent="0.25">
      <c r="AQ1780" s="37"/>
    </row>
    <row r="1781" spans="43:43" x14ac:dyDescent="0.25">
      <c r="AQ1781" s="37"/>
    </row>
    <row r="1782" spans="43:43" x14ac:dyDescent="0.25">
      <c r="AQ1782" s="37"/>
    </row>
    <row r="1783" spans="43:43" x14ac:dyDescent="0.25">
      <c r="AQ1783" s="37"/>
    </row>
    <row r="1784" spans="43:43" x14ac:dyDescent="0.25">
      <c r="AQ1784" s="37"/>
    </row>
    <row r="1785" spans="43:43" x14ac:dyDescent="0.25">
      <c r="AQ1785" s="37"/>
    </row>
    <row r="1786" spans="43:43" x14ac:dyDescent="0.25">
      <c r="AQ1786" s="37"/>
    </row>
    <row r="1787" spans="43:43" x14ac:dyDescent="0.25">
      <c r="AQ1787" s="37"/>
    </row>
    <row r="1788" spans="43:43" x14ac:dyDescent="0.25">
      <c r="AQ1788" s="37"/>
    </row>
    <row r="1789" spans="43:43" x14ac:dyDescent="0.25">
      <c r="AQ1789" s="37"/>
    </row>
    <row r="1790" spans="43:43" x14ac:dyDescent="0.25">
      <c r="AQ1790" s="37"/>
    </row>
    <row r="1791" spans="43:43" x14ac:dyDescent="0.25">
      <c r="AQ1791" s="37"/>
    </row>
    <row r="1792" spans="43:43" x14ac:dyDescent="0.25">
      <c r="AQ1792" s="37"/>
    </row>
    <row r="1793" spans="43:43" x14ac:dyDescent="0.25">
      <c r="AQ1793" s="37"/>
    </row>
    <row r="1794" spans="43:43" x14ac:dyDescent="0.25">
      <c r="AQ1794" s="37"/>
    </row>
    <row r="1795" spans="43:43" x14ac:dyDescent="0.25">
      <c r="AQ1795" s="37"/>
    </row>
    <row r="1796" spans="43:43" x14ac:dyDescent="0.25">
      <c r="AQ1796" s="37"/>
    </row>
    <row r="1797" spans="43:43" x14ac:dyDescent="0.25">
      <c r="AQ1797" s="37"/>
    </row>
    <row r="1798" spans="43:43" x14ac:dyDescent="0.25">
      <c r="AQ1798" s="37"/>
    </row>
    <row r="1799" spans="43:43" x14ac:dyDescent="0.25">
      <c r="AQ1799" s="37"/>
    </row>
    <row r="1800" spans="43:43" x14ac:dyDescent="0.25">
      <c r="AQ1800" s="37"/>
    </row>
    <row r="1801" spans="43:43" x14ac:dyDescent="0.25">
      <c r="AQ1801" s="37"/>
    </row>
    <row r="1802" spans="43:43" x14ac:dyDescent="0.25">
      <c r="AQ1802" s="37"/>
    </row>
    <row r="1803" spans="43:43" x14ac:dyDescent="0.25">
      <c r="AQ1803" s="37"/>
    </row>
    <row r="1804" spans="43:43" x14ac:dyDescent="0.25">
      <c r="AQ1804" s="37"/>
    </row>
    <row r="1805" spans="43:43" x14ac:dyDescent="0.25">
      <c r="AQ1805" s="37"/>
    </row>
    <row r="1806" spans="43:43" x14ac:dyDescent="0.25">
      <c r="AQ1806" s="37"/>
    </row>
    <row r="1807" spans="43:43" x14ac:dyDescent="0.25">
      <c r="AQ1807" s="37"/>
    </row>
    <row r="1808" spans="43:43" x14ac:dyDescent="0.25">
      <c r="AQ1808" s="37"/>
    </row>
    <row r="1809" spans="43:43" x14ac:dyDescent="0.25">
      <c r="AQ1809" s="37"/>
    </row>
    <row r="1810" spans="43:43" x14ac:dyDescent="0.25">
      <c r="AQ1810" s="37"/>
    </row>
    <row r="1811" spans="43:43" x14ac:dyDescent="0.25">
      <c r="AQ1811" s="37"/>
    </row>
    <row r="1812" spans="43:43" x14ac:dyDescent="0.25">
      <c r="AQ1812" s="37"/>
    </row>
    <row r="1813" spans="43:43" x14ac:dyDescent="0.25">
      <c r="AQ1813" s="37"/>
    </row>
    <row r="1814" spans="43:43" x14ac:dyDescent="0.25">
      <c r="AQ1814" s="37"/>
    </row>
    <row r="1815" spans="43:43" x14ac:dyDescent="0.25">
      <c r="AQ1815" s="37"/>
    </row>
    <row r="1816" spans="43:43" x14ac:dyDescent="0.25">
      <c r="AQ1816" s="37"/>
    </row>
    <row r="1817" spans="43:43" x14ac:dyDescent="0.25">
      <c r="AQ1817" s="37"/>
    </row>
    <row r="1818" spans="43:43" x14ac:dyDescent="0.25">
      <c r="AQ1818" s="37"/>
    </row>
    <row r="1819" spans="43:43" x14ac:dyDescent="0.25">
      <c r="AQ1819" s="37"/>
    </row>
    <row r="1820" spans="43:43" x14ac:dyDescent="0.25">
      <c r="AQ1820" s="37"/>
    </row>
    <row r="1821" spans="43:43" x14ac:dyDescent="0.25">
      <c r="AQ1821" s="37"/>
    </row>
    <row r="1822" spans="43:43" x14ac:dyDescent="0.25">
      <c r="AQ1822" s="37"/>
    </row>
    <row r="1823" spans="43:43" x14ac:dyDescent="0.25">
      <c r="AQ1823" s="37"/>
    </row>
    <row r="1824" spans="43:43" x14ac:dyDescent="0.25">
      <c r="AQ1824" s="37"/>
    </row>
    <row r="1825" spans="43:43" x14ac:dyDescent="0.25">
      <c r="AQ1825" s="37"/>
    </row>
    <row r="1826" spans="43:43" x14ac:dyDescent="0.25">
      <c r="AQ1826" s="37"/>
    </row>
    <row r="1827" spans="43:43" x14ac:dyDescent="0.25">
      <c r="AQ1827" s="37"/>
    </row>
    <row r="1828" spans="43:43" x14ac:dyDescent="0.25">
      <c r="AQ1828" s="37"/>
    </row>
    <row r="1829" spans="43:43" x14ac:dyDescent="0.25">
      <c r="AQ1829" s="37"/>
    </row>
    <row r="1830" spans="43:43" x14ac:dyDescent="0.25">
      <c r="AQ1830" s="37"/>
    </row>
    <row r="1831" spans="43:43" x14ac:dyDescent="0.25">
      <c r="AQ1831" s="37"/>
    </row>
    <row r="1832" spans="43:43" x14ac:dyDescent="0.25">
      <c r="AQ1832" s="37"/>
    </row>
    <row r="1833" spans="43:43" x14ac:dyDescent="0.25">
      <c r="AQ1833" s="37"/>
    </row>
    <row r="1834" spans="43:43" x14ac:dyDescent="0.25">
      <c r="AQ1834" s="37"/>
    </row>
    <row r="1835" spans="43:43" x14ac:dyDescent="0.25">
      <c r="AQ1835" s="37"/>
    </row>
    <row r="1836" spans="43:43" x14ac:dyDescent="0.25">
      <c r="AQ1836" s="37"/>
    </row>
    <row r="1837" spans="43:43" x14ac:dyDescent="0.25">
      <c r="AQ1837" s="37"/>
    </row>
    <row r="1838" spans="43:43" x14ac:dyDescent="0.25">
      <c r="AQ1838" s="37"/>
    </row>
    <row r="1839" spans="43:43" x14ac:dyDescent="0.25">
      <c r="AQ1839" s="37"/>
    </row>
    <row r="1840" spans="43:43" x14ac:dyDescent="0.25">
      <c r="AQ1840" s="37"/>
    </row>
    <row r="1841" spans="43:43" x14ac:dyDescent="0.25">
      <c r="AQ1841" s="37"/>
    </row>
    <row r="1842" spans="43:43" x14ac:dyDescent="0.25">
      <c r="AQ1842" s="37"/>
    </row>
    <row r="1843" spans="43:43" x14ac:dyDescent="0.25">
      <c r="AQ1843" s="37"/>
    </row>
    <row r="1844" spans="43:43" x14ac:dyDescent="0.25">
      <c r="AQ1844" s="37"/>
    </row>
    <row r="1845" spans="43:43" x14ac:dyDescent="0.25">
      <c r="AQ1845" s="37"/>
    </row>
    <row r="1846" spans="43:43" x14ac:dyDescent="0.25">
      <c r="AQ1846" s="37"/>
    </row>
    <row r="1847" spans="43:43" x14ac:dyDescent="0.25">
      <c r="AQ1847" s="37"/>
    </row>
    <row r="1848" spans="43:43" x14ac:dyDescent="0.25">
      <c r="AQ1848" s="37"/>
    </row>
    <row r="1849" spans="43:43" x14ac:dyDescent="0.25">
      <c r="AQ1849" s="37"/>
    </row>
    <row r="1850" spans="43:43" x14ac:dyDescent="0.25">
      <c r="AQ1850" s="37"/>
    </row>
    <row r="1851" spans="43:43" x14ac:dyDescent="0.25">
      <c r="AQ1851" s="37"/>
    </row>
    <row r="1852" spans="43:43" x14ac:dyDescent="0.25">
      <c r="AQ1852" s="37"/>
    </row>
    <row r="1853" spans="43:43" x14ac:dyDescent="0.25">
      <c r="AQ1853" s="37"/>
    </row>
    <row r="1854" spans="43:43" x14ac:dyDescent="0.25">
      <c r="AQ1854" s="37"/>
    </row>
    <row r="1855" spans="43:43" x14ac:dyDescent="0.25">
      <c r="AQ1855" s="37"/>
    </row>
    <row r="1856" spans="43:43" x14ac:dyDescent="0.25">
      <c r="AQ1856" s="37"/>
    </row>
    <row r="1857" spans="43:43" x14ac:dyDescent="0.25">
      <c r="AQ1857" s="37"/>
    </row>
    <row r="1858" spans="43:43" x14ac:dyDescent="0.25">
      <c r="AQ1858" s="37"/>
    </row>
    <row r="1859" spans="43:43" x14ac:dyDescent="0.25">
      <c r="AQ1859" s="37"/>
    </row>
    <row r="1860" spans="43:43" x14ac:dyDescent="0.25">
      <c r="AQ1860" s="37"/>
    </row>
    <row r="1861" spans="43:43" x14ac:dyDescent="0.25">
      <c r="AQ1861" s="37"/>
    </row>
    <row r="1862" spans="43:43" x14ac:dyDescent="0.25">
      <c r="AQ1862" s="37"/>
    </row>
    <row r="1863" spans="43:43" x14ac:dyDescent="0.25">
      <c r="AQ1863" s="37"/>
    </row>
    <row r="1864" spans="43:43" x14ac:dyDescent="0.25">
      <c r="AQ1864" s="37"/>
    </row>
    <row r="1865" spans="43:43" x14ac:dyDescent="0.25">
      <c r="AQ1865" s="37"/>
    </row>
    <row r="1866" spans="43:43" x14ac:dyDescent="0.25">
      <c r="AQ1866" s="37"/>
    </row>
    <row r="1867" spans="43:43" x14ac:dyDescent="0.25">
      <c r="AQ1867" s="37"/>
    </row>
    <row r="1868" spans="43:43" x14ac:dyDescent="0.25">
      <c r="AQ1868" s="37"/>
    </row>
    <row r="1869" spans="43:43" x14ac:dyDescent="0.25">
      <c r="AQ1869" s="37"/>
    </row>
    <row r="1870" spans="43:43" x14ac:dyDescent="0.25">
      <c r="AQ1870" s="37"/>
    </row>
    <row r="1871" spans="43:43" x14ac:dyDescent="0.25">
      <c r="AQ1871" s="37"/>
    </row>
    <row r="1872" spans="43:43" x14ac:dyDescent="0.25">
      <c r="AQ1872" s="37"/>
    </row>
    <row r="1873" spans="43:43" x14ac:dyDescent="0.25">
      <c r="AQ1873" s="37"/>
    </row>
    <row r="1874" spans="43:43" x14ac:dyDescent="0.25">
      <c r="AQ1874" s="37"/>
    </row>
    <row r="1875" spans="43:43" x14ac:dyDescent="0.25">
      <c r="AQ1875" s="37"/>
    </row>
    <row r="1876" spans="43:43" x14ac:dyDescent="0.25">
      <c r="AQ1876" s="37"/>
    </row>
    <row r="1877" spans="43:43" x14ac:dyDescent="0.25">
      <c r="AQ1877" s="37"/>
    </row>
    <row r="1878" spans="43:43" x14ac:dyDescent="0.25">
      <c r="AQ1878" s="37"/>
    </row>
    <row r="1879" spans="43:43" x14ac:dyDescent="0.25">
      <c r="AQ1879" s="37"/>
    </row>
    <row r="1880" spans="43:43" x14ac:dyDescent="0.25">
      <c r="AQ1880" s="37"/>
    </row>
    <row r="1881" spans="43:43" x14ac:dyDescent="0.25">
      <c r="AQ1881" s="37"/>
    </row>
    <row r="1882" spans="43:43" x14ac:dyDescent="0.25">
      <c r="AQ1882" s="37"/>
    </row>
    <row r="1883" spans="43:43" x14ac:dyDescent="0.25">
      <c r="AQ1883" s="37"/>
    </row>
    <row r="1884" spans="43:43" x14ac:dyDescent="0.25">
      <c r="AQ1884" s="37"/>
    </row>
    <row r="1885" spans="43:43" x14ac:dyDescent="0.25">
      <c r="AQ1885" s="37"/>
    </row>
    <row r="1886" spans="43:43" x14ac:dyDescent="0.25">
      <c r="AQ1886" s="37"/>
    </row>
    <row r="1887" spans="43:43" x14ac:dyDescent="0.25">
      <c r="AQ1887" s="37"/>
    </row>
    <row r="1888" spans="43:43" x14ac:dyDescent="0.25">
      <c r="AQ1888" s="37"/>
    </row>
    <row r="1889" spans="43:43" x14ac:dyDescent="0.25">
      <c r="AQ1889" s="37"/>
    </row>
    <row r="1890" spans="43:43" x14ac:dyDescent="0.25">
      <c r="AQ1890" s="37"/>
    </row>
    <row r="1891" spans="43:43" x14ac:dyDescent="0.25">
      <c r="AQ1891" s="37"/>
    </row>
    <row r="1892" spans="43:43" x14ac:dyDescent="0.25">
      <c r="AQ1892" s="37"/>
    </row>
    <row r="1893" spans="43:43" x14ac:dyDescent="0.25">
      <c r="AQ1893" s="37"/>
    </row>
    <row r="1894" spans="43:43" x14ac:dyDescent="0.25">
      <c r="AQ1894" s="37"/>
    </row>
    <row r="1895" spans="43:43" x14ac:dyDescent="0.25">
      <c r="AQ1895" s="37"/>
    </row>
    <row r="1896" spans="43:43" x14ac:dyDescent="0.25">
      <c r="AQ1896" s="37"/>
    </row>
    <row r="1897" spans="43:43" x14ac:dyDescent="0.25">
      <c r="AQ1897" s="37"/>
    </row>
    <row r="1898" spans="43:43" x14ac:dyDescent="0.25">
      <c r="AQ1898" s="37"/>
    </row>
    <row r="1899" spans="43:43" x14ac:dyDescent="0.25">
      <c r="AQ1899" s="37"/>
    </row>
    <row r="1900" spans="43:43" x14ac:dyDescent="0.25">
      <c r="AQ1900" s="37"/>
    </row>
    <row r="1901" spans="43:43" x14ac:dyDescent="0.25">
      <c r="AQ1901" s="37"/>
    </row>
    <row r="1902" spans="43:43" x14ac:dyDescent="0.25">
      <c r="AQ1902" s="37"/>
    </row>
    <row r="1903" spans="43:43" x14ac:dyDescent="0.25">
      <c r="AQ1903" s="37"/>
    </row>
    <row r="1904" spans="43:43" x14ac:dyDescent="0.25">
      <c r="AQ1904" s="37"/>
    </row>
    <row r="1905" spans="43:43" x14ac:dyDescent="0.25">
      <c r="AQ1905" s="37"/>
    </row>
    <row r="1906" spans="43:43" x14ac:dyDescent="0.25">
      <c r="AQ1906" s="37"/>
    </row>
    <row r="1907" spans="43:43" x14ac:dyDescent="0.25">
      <c r="AQ1907" s="37"/>
    </row>
    <row r="1908" spans="43:43" x14ac:dyDescent="0.25">
      <c r="AQ1908" s="37"/>
    </row>
    <row r="1909" spans="43:43" x14ac:dyDescent="0.25">
      <c r="AQ1909" s="37"/>
    </row>
    <row r="1910" spans="43:43" x14ac:dyDescent="0.25">
      <c r="AQ1910" s="37"/>
    </row>
    <row r="1911" spans="43:43" x14ac:dyDescent="0.25">
      <c r="AQ1911" s="37"/>
    </row>
    <row r="1912" spans="43:43" x14ac:dyDescent="0.25">
      <c r="AQ1912" s="37"/>
    </row>
    <row r="1913" spans="43:43" x14ac:dyDescent="0.25">
      <c r="AQ1913" s="37"/>
    </row>
    <row r="1914" spans="43:43" x14ac:dyDescent="0.25">
      <c r="AQ1914" s="37"/>
    </row>
    <row r="1915" spans="43:43" x14ac:dyDescent="0.25">
      <c r="AQ1915" s="37"/>
    </row>
    <row r="1916" spans="43:43" x14ac:dyDescent="0.25">
      <c r="AQ1916" s="37"/>
    </row>
    <row r="1917" spans="43:43" x14ac:dyDescent="0.25">
      <c r="AQ1917" s="37"/>
    </row>
    <row r="1918" spans="43:43" x14ac:dyDescent="0.25">
      <c r="AQ1918" s="37"/>
    </row>
    <row r="1919" spans="43:43" x14ac:dyDescent="0.25">
      <c r="AQ1919" s="37"/>
    </row>
    <row r="1920" spans="43:43" x14ac:dyDescent="0.25">
      <c r="AQ1920" s="37"/>
    </row>
    <row r="1921" spans="43:43" x14ac:dyDescent="0.25">
      <c r="AQ1921" s="37"/>
    </row>
    <row r="1922" spans="43:43" x14ac:dyDescent="0.25">
      <c r="AQ1922" s="37"/>
    </row>
    <row r="1923" spans="43:43" x14ac:dyDescent="0.25">
      <c r="AQ1923" s="37"/>
    </row>
    <row r="1924" spans="43:43" x14ac:dyDescent="0.25">
      <c r="AQ1924" s="37"/>
    </row>
    <row r="1925" spans="43:43" x14ac:dyDescent="0.25">
      <c r="AQ1925" s="37"/>
    </row>
    <row r="1926" spans="43:43" x14ac:dyDescent="0.25">
      <c r="AQ1926" s="37"/>
    </row>
    <row r="1927" spans="43:43" x14ac:dyDescent="0.25">
      <c r="AQ1927" s="37"/>
    </row>
    <row r="1928" spans="43:43" x14ac:dyDescent="0.25">
      <c r="AQ1928" s="37"/>
    </row>
    <row r="1929" spans="43:43" x14ac:dyDescent="0.25">
      <c r="AQ1929" s="37"/>
    </row>
    <row r="1930" spans="43:43" x14ac:dyDescent="0.25">
      <c r="AQ1930" s="37"/>
    </row>
    <row r="1931" spans="43:43" x14ac:dyDescent="0.25">
      <c r="AQ1931" s="37"/>
    </row>
    <row r="1932" spans="43:43" x14ac:dyDescent="0.25">
      <c r="AQ1932" s="37"/>
    </row>
    <row r="1933" spans="43:43" x14ac:dyDescent="0.25">
      <c r="AQ1933" s="37"/>
    </row>
    <row r="1934" spans="43:43" x14ac:dyDescent="0.25">
      <c r="AQ1934" s="37"/>
    </row>
    <row r="1935" spans="43:43" x14ac:dyDescent="0.25">
      <c r="AQ1935" s="37"/>
    </row>
    <row r="1936" spans="43:43" x14ac:dyDescent="0.25">
      <c r="AQ1936" s="37"/>
    </row>
    <row r="1937" spans="43:43" x14ac:dyDescent="0.25">
      <c r="AQ1937" s="37"/>
    </row>
    <row r="1938" spans="43:43" x14ac:dyDescent="0.25">
      <c r="AQ1938" s="37"/>
    </row>
    <row r="1939" spans="43:43" x14ac:dyDescent="0.25">
      <c r="AQ1939" s="37"/>
    </row>
    <row r="1940" spans="43:43" x14ac:dyDescent="0.25">
      <c r="AQ1940" s="37"/>
    </row>
    <row r="1941" spans="43:43" x14ac:dyDescent="0.25">
      <c r="AQ1941" s="37"/>
    </row>
    <row r="1942" spans="43:43" x14ac:dyDescent="0.25">
      <c r="AQ1942" s="37"/>
    </row>
    <row r="1943" spans="43:43" x14ac:dyDescent="0.25">
      <c r="AQ1943" s="37"/>
    </row>
    <row r="1944" spans="43:43" x14ac:dyDescent="0.25">
      <c r="AQ1944" s="37"/>
    </row>
    <row r="1945" spans="43:43" x14ac:dyDescent="0.25">
      <c r="AQ1945" s="37"/>
    </row>
    <row r="1946" spans="43:43" x14ac:dyDescent="0.25">
      <c r="AQ1946" s="37"/>
    </row>
    <row r="1947" spans="43:43" x14ac:dyDescent="0.25">
      <c r="AQ1947" s="37"/>
    </row>
    <row r="1948" spans="43:43" x14ac:dyDescent="0.25">
      <c r="AQ1948" s="37"/>
    </row>
    <row r="1949" spans="43:43" x14ac:dyDescent="0.25">
      <c r="AQ1949" s="37"/>
    </row>
    <row r="1950" spans="43:43" x14ac:dyDescent="0.25">
      <c r="AQ1950" s="37"/>
    </row>
    <row r="1951" spans="43:43" x14ac:dyDescent="0.25">
      <c r="AQ1951" s="37"/>
    </row>
    <row r="1952" spans="43:43" x14ac:dyDescent="0.25">
      <c r="AQ1952" s="37"/>
    </row>
    <row r="1953" spans="43:43" x14ac:dyDescent="0.25">
      <c r="AQ1953" s="37"/>
    </row>
    <row r="1954" spans="43:43" x14ac:dyDescent="0.25">
      <c r="AQ1954" s="37"/>
    </row>
    <row r="1955" spans="43:43" x14ac:dyDescent="0.25">
      <c r="AQ1955" s="37"/>
    </row>
    <row r="1956" spans="43:43" x14ac:dyDescent="0.25">
      <c r="AQ1956" s="37"/>
    </row>
    <row r="1957" spans="43:43" x14ac:dyDescent="0.25">
      <c r="AQ1957" s="37"/>
    </row>
    <row r="1958" spans="43:43" x14ac:dyDescent="0.25">
      <c r="AQ1958" s="37"/>
    </row>
    <row r="1959" spans="43:43" x14ac:dyDescent="0.25">
      <c r="AQ1959" s="37"/>
    </row>
    <row r="1960" spans="43:43" x14ac:dyDescent="0.25">
      <c r="AQ1960" s="37"/>
    </row>
    <row r="1961" spans="43:43" x14ac:dyDescent="0.25">
      <c r="AQ1961" s="37"/>
    </row>
    <row r="1962" spans="43:43" x14ac:dyDescent="0.25">
      <c r="AQ1962" s="37"/>
    </row>
    <row r="1963" spans="43:43" x14ac:dyDescent="0.25">
      <c r="AQ1963" s="37"/>
    </row>
    <row r="1964" spans="43:43" x14ac:dyDescent="0.25">
      <c r="AQ1964" s="37"/>
    </row>
    <row r="1965" spans="43:43" x14ac:dyDescent="0.25">
      <c r="AQ1965" s="37"/>
    </row>
    <row r="1966" spans="43:43" x14ac:dyDescent="0.25">
      <c r="AQ1966" s="37"/>
    </row>
    <row r="1967" spans="43:43" x14ac:dyDescent="0.25">
      <c r="AQ1967" s="37"/>
    </row>
    <row r="1968" spans="43:43" x14ac:dyDescent="0.25">
      <c r="AQ1968" s="37"/>
    </row>
    <row r="1969" spans="43:43" x14ac:dyDescent="0.25">
      <c r="AQ1969" s="37"/>
    </row>
    <row r="1970" spans="43:43" x14ac:dyDescent="0.25">
      <c r="AQ1970" s="37"/>
    </row>
    <row r="1971" spans="43:43" x14ac:dyDescent="0.25">
      <c r="AQ1971" s="37"/>
    </row>
    <row r="1972" spans="43:43" x14ac:dyDescent="0.25">
      <c r="AQ1972" s="37"/>
    </row>
    <row r="1973" spans="43:43" x14ac:dyDescent="0.25">
      <c r="AQ1973" s="37"/>
    </row>
    <row r="1974" spans="43:43" x14ac:dyDescent="0.25">
      <c r="AQ1974" s="37"/>
    </row>
    <row r="1975" spans="43:43" x14ac:dyDescent="0.25">
      <c r="AQ1975" s="37"/>
    </row>
    <row r="1976" spans="43:43" x14ac:dyDescent="0.25">
      <c r="AQ1976" s="37"/>
    </row>
    <row r="1977" spans="43:43" x14ac:dyDescent="0.25">
      <c r="AQ1977" s="37"/>
    </row>
    <row r="1978" spans="43:43" x14ac:dyDescent="0.25">
      <c r="AQ1978" s="37"/>
    </row>
    <row r="1979" spans="43:43" x14ac:dyDescent="0.25">
      <c r="AQ1979" s="37"/>
    </row>
    <row r="1980" spans="43:43" x14ac:dyDescent="0.25">
      <c r="AQ1980" s="37"/>
    </row>
    <row r="1981" spans="43:43" x14ac:dyDescent="0.25">
      <c r="AQ1981" s="37"/>
    </row>
    <row r="1982" spans="43:43" x14ac:dyDescent="0.25">
      <c r="AQ1982" s="37"/>
    </row>
    <row r="1983" spans="43:43" x14ac:dyDescent="0.25">
      <c r="AQ1983" s="37"/>
    </row>
    <row r="1984" spans="43:43" x14ac:dyDescent="0.25">
      <c r="AQ1984" s="37"/>
    </row>
    <row r="1985" spans="43:43" x14ac:dyDescent="0.25">
      <c r="AQ1985" s="37"/>
    </row>
    <row r="1986" spans="43:43" x14ac:dyDescent="0.25">
      <c r="AQ1986" s="37"/>
    </row>
    <row r="1987" spans="43:43" x14ac:dyDescent="0.25">
      <c r="AQ1987" s="37"/>
    </row>
    <row r="1988" spans="43:43" x14ac:dyDescent="0.25">
      <c r="AQ1988" s="37"/>
    </row>
    <row r="1989" spans="43:43" x14ac:dyDescent="0.25">
      <c r="AQ1989" s="37"/>
    </row>
    <row r="1990" spans="43:43" x14ac:dyDescent="0.25">
      <c r="AQ1990" s="37"/>
    </row>
    <row r="1991" spans="43:43" x14ac:dyDescent="0.25">
      <c r="AQ1991" s="37"/>
    </row>
    <row r="1992" spans="43:43" x14ac:dyDescent="0.25">
      <c r="AQ1992" s="37"/>
    </row>
    <row r="1993" spans="43:43" x14ac:dyDescent="0.25">
      <c r="AQ1993" s="37"/>
    </row>
    <row r="1994" spans="43:43" x14ac:dyDescent="0.25">
      <c r="AQ1994" s="37"/>
    </row>
    <row r="1995" spans="43:43" x14ac:dyDescent="0.25">
      <c r="AQ1995" s="37"/>
    </row>
    <row r="1996" spans="43:43" x14ac:dyDescent="0.25">
      <c r="AQ1996" s="37"/>
    </row>
    <row r="1997" spans="43:43" x14ac:dyDescent="0.25">
      <c r="AQ1997" s="37"/>
    </row>
    <row r="1998" spans="43:43" x14ac:dyDescent="0.25">
      <c r="AQ1998" s="37"/>
    </row>
    <row r="1999" spans="43:43" x14ac:dyDescent="0.25">
      <c r="AQ1999" s="37"/>
    </row>
    <row r="2000" spans="43:43" x14ac:dyDescent="0.25">
      <c r="AQ2000" s="37"/>
    </row>
    <row r="2001" spans="43:43" x14ac:dyDescent="0.25">
      <c r="AQ2001" s="37"/>
    </row>
    <row r="2002" spans="43:43" x14ac:dyDescent="0.25">
      <c r="AQ2002" s="37"/>
    </row>
    <row r="2003" spans="43:43" x14ac:dyDescent="0.25">
      <c r="AQ2003" s="37"/>
    </row>
    <row r="2004" spans="43:43" x14ac:dyDescent="0.25">
      <c r="AQ2004" s="37"/>
    </row>
    <row r="2005" spans="43:43" x14ac:dyDescent="0.25">
      <c r="AQ2005" s="37"/>
    </row>
    <row r="2006" spans="43:43" x14ac:dyDescent="0.25">
      <c r="AQ2006" s="37"/>
    </row>
    <row r="2007" spans="43:43" x14ac:dyDescent="0.25">
      <c r="AQ2007" s="37"/>
    </row>
    <row r="2008" spans="43:43" x14ac:dyDescent="0.25">
      <c r="AQ2008" s="37"/>
    </row>
    <row r="2009" spans="43:43" x14ac:dyDescent="0.25">
      <c r="AQ2009" s="37"/>
    </row>
    <row r="2010" spans="43:43" x14ac:dyDescent="0.25">
      <c r="AQ2010" s="37"/>
    </row>
    <row r="2011" spans="43:43" x14ac:dyDescent="0.25">
      <c r="AQ2011" s="37"/>
    </row>
    <row r="2012" spans="43:43" x14ac:dyDescent="0.25">
      <c r="AQ2012" s="37"/>
    </row>
    <row r="2013" spans="43:43" x14ac:dyDescent="0.25">
      <c r="AQ2013" s="37"/>
    </row>
    <row r="2014" spans="43:43" x14ac:dyDescent="0.25">
      <c r="AQ2014" s="37"/>
    </row>
    <row r="2015" spans="43:43" x14ac:dyDescent="0.25">
      <c r="AQ2015" s="37"/>
    </row>
    <row r="2016" spans="43:43" x14ac:dyDescent="0.25">
      <c r="AQ2016" s="37"/>
    </row>
    <row r="2017" spans="43:43" x14ac:dyDescent="0.25">
      <c r="AQ2017" s="37"/>
    </row>
    <row r="2018" spans="43:43" x14ac:dyDescent="0.25">
      <c r="AQ2018" s="37"/>
    </row>
    <row r="2019" spans="43:43" x14ac:dyDescent="0.25">
      <c r="AQ2019" s="37"/>
    </row>
    <row r="2020" spans="43:43" x14ac:dyDescent="0.25">
      <c r="AQ2020" s="37"/>
    </row>
    <row r="2021" spans="43:43" x14ac:dyDescent="0.25">
      <c r="AQ2021" s="37"/>
    </row>
    <row r="2022" spans="43:43" x14ac:dyDescent="0.25">
      <c r="AQ2022" s="37"/>
    </row>
    <row r="2023" spans="43:43" x14ac:dyDescent="0.25">
      <c r="AQ2023" s="37"/>
    </row>
    <row r="2024" spans="43:43" x14ac:dyDescent="0.25">
      <c r="AQ2024" s="37"/>
    </row>
    <row r="2025" spans="43:43" x14ac:dyDescent="0.25">
      <c r="AQ2025" s="37"/>
    </row>
    <row r="2026" spans="43:43" x14ac:dyDescent="0.25">
      <c r="AQ2026" s="37"/>
    </row>
    <row r="2027" spans="43:43" x14ac:dyDescent="0.25">
      <c r="AQ2027" s="37"/>
    </row>
    <row r="2028" spans="43:43" x14ac:dyDescent="0.25">
      <c r="AQ2028" s="37"/>
    </row>
    <row r="2029" spans="43:43" x14ac:dyDescent="0.25">
      <c r="AQ2029" s="37"/>
    </row>
    <row r="2030" spans="43:43" x14ac:dyDescent="0.25">
      <c r="AQ2030" s="37"/>
    </row>
    <row r="2031" spans="43:43" x14ac:dyDescent="0.25">
      <c r="AQ2031" s="37"/>
    </row>
    <row r="2032" spans="43:43" x14ac:dyDescent="0.25">
      <c r="AQ2032" s="37"/>
    </row>
    <row r="2033" spans="43:43" x14ac:dyDescent="0.25">
      <c r="AQ2033" s="37"/>
    </row>
    <row r="2034" spans="43:43" x14ac:dyDescent="0.25">
      <c r="AQ2034" s="37"/>
    </row>
    <row r="2035" spans="43:43" x14ac:dyDescent="0.25">
      <c r="AQ2035" s="37"/>
    </row>
    <row r="2036" spans="43:43" x14ac:dyDescent="0.25">
      <c r="AQ2036" s="37"/>
    </row>
    <row r="2037" spans="43:43" x14ac:dyDescent="0.25">
      <c r="AQ2037" s="37"/>
    </row>
    <row r="2038" spans="43:43" x14ac:dyDescent="0.25">
      <c r="AQ2038" s="37"/>
    </row>
    <row r="2039" spans="43:43" x14ac:dyDescent="0.25">
      <c r="AQ2039" s="37"/>
    </row>
    <row r="2040" spans="43:43" x14ac:dyDescent="0.25">
      <c r="AQ2040" s="37"/>
    </row>
    <row r="2041" spans="43:43" x14ac:dyDescent="0.25">
      <c r="AQ2041" s="37"/>
    </row>
    <row r="2042" spans="43:43" x14ac:dyDescent="0.25">
      <c r="AQ2042" s="37"/>
    </row>
    <row r="2043" spans="43:43" x14ac:dyDescent="0.25">
      <c r="AQ2043" s="37"/>
    </row>
    <row r="2044" spans="43:43" x14ac:dyDescent="0.25">
      <c r="AQ2044" s="37"/>
    </row>
    <row r="2045" spans="43:43" x14ac:dyDescent="0.25">
      <c r="AQ2045" s="37"/>
    </row>
    <row r="2046" spans="43:43" x14ac:dyDescent="0.25">
      <c r="AQ2046" s="37"/>
    </row>
    <row r="2047" spans="43:43" x14ac:dyDescent="0.25">
      <c r="AQ2047" s="37"/>
    </row>
    <row r="2048" spans="43:43" x14ac:dyDescent="0.25">
      <c r="AQ2048" s="37"/>
    </row>
    <row r="2049" spans="43:43" x14ac:dyDescent="0.25">
      <c r="AQ2049" s="37"/>
    </row>
    <row r="2050" spans="43:43" x14ac:dyDescent="0.25">
      <c r="AQ2050" s="37"/>
    </row>
    <row r="2051" spans="43:43" x14ac:dyDescent="0.25">
      <c r="AQ2051" s="37"/>
    </row>
    <row r="2052" spans="43:43" x14ac:dyDescent="0.25">
      <c r="AQ2052" s="37"/>
    </row>
    <row r="2053" spans="43:43" x14ac:dyDescent="0.25">
      <c r="AQ2053" s="37"/>
    </row>
    <row r="2054" spans="43:43" x14ac:dyDescent="0.25">
      <c r="AQ2054" s="37"/>
    </row>
    <row r="2055" spans="43:43" x14ac:dyDescent="0.25">
      <c r="AQ2055" s="37"/>
    </row>
    <row r="2056" spans="43:43" x14ac:dyDescent="0.25">
      <c r="AQ2056" s="37"/>
    </row>
    <row r="2057" spans="43:43" x14ac:dyDescent="0.25">
      <c r="AQ2057" s="37"/>
    </row>
    <row r="2058" spans="43:43" x14ac:dyDescent="0.25">
      <c r="AQ2058" s="37"/>
    </row>
    <row r="2059" spans="43:43" x14ac:dyDescent="0.25">
      <c r="AQ2059" s="37"/>
    </row>
    <row r="2060" spans="43:43" x14ac:dyDescent="0.25">
      <c r="AQ2060" s="37"/>
    </row>
    <row r="2061" spans="43:43" x14ac:dyDescent="0.25">
      <c r="AQ2061" s="37"/>
    </row>
    <row r="2062" spans="43:43" x14ac:dyDescent="0.25">
      <c r="AQ2062" s="37"/>
    </row>
    <row r="2063" spans="43:43" x14ac:dyDescent="0.25">
      <c r="AQ2063" s="37"/>
    </row>
    <row r="2064" spans="43:43" x14ac:dyDescent="0.25">
      <c r="AQ2064" s="37"/>
    </row>
    <row r="2065" spans="43:43" x14ac:dyDescent="0.25">
      <c r="AQ2065" s="37"/>
    </row>
    <row r="2066" spans="43:43" x14ac:dyDescent="0.25">
      <c r="AQ2066" s="37"/>
    </row>
    <row r="2067" spans="43:43" x14ac:dyDescent="0.25">
      <c r="AQ2067" s="37"/>
    </row>
    <row r="2068" spans="43:43" x14ac:dyDescent="0.25">
      <c r="AQ2068" s="37"/>
    </row>
    <row r="2069" spans="43:43" x14ac:dyDescent="0.25">
      <c r="AQ2069" s="37"/>
    </row>
    <row r="2070" spans="43:43" x14ac:dyDescent="0.25">
      <c r="AQ2070" s="37"/>
    </row>
    <row r="2071" spans="43:43" x14ac:dyDescent="0.25">
      <c r="AQ2071" s="37"/>
    </row>
    <row r="2072" spans="43:43" x14ac:dyDescent="0.25">
      <c r="AQ2072" s="37"/>
    </row>
    <row r="2073" spans="43:43" x14ac:dyDescent="0.25">
      <c r="AQ2073" s="37"/>
    </row>
    <row r="2074" spans="43:43" x14ac:dyDescent="0.25">
      <c r="AQ2074" s="37"/>
    </row>
    <row r="2075" spans="43:43" x14ac:dyDescent="0.25">
      <c r="AQ2075" s="37"/>
    </row>
    <row r="2076" spans="43:43" x14ac:dyDescent="0.25">
      <c r="AQ2076" s="37"/>
    </row>
    <row r="2077" spans="43:43" x14ac:dyDescent="0.25">
      <c r="AQ2077" s="37"/>
    </row>
    <row r="2078" spans="43:43" x14ac:dyDescent="0.25">
      <c r="AQ2078" s="37"/>
    </row>
    <row r="2079" spans="43:43" x14ac:dyDescent="0.25">
      <c r="AQ2079" s="37"/>
    </row>
    <row r="2080" spans="43:43" x14ac:dyDescent="0.25">
      <c r="AQ2080" s="37"/>
    </row>
    <row r="2081" spans="43:43" x14ac:dyDescent="0.25">
      <c r="AQ2081" s="37"/>
    </row>
    <row r="2082" spans="43:43" x14ac:dyDescent="0.25">
      <c r="AQ2082" s="37"/>
    </row>
    <row r="2083" spans="43:43" x14ac:dyDescent="0.25">
      <c r="AQ2083" s="37"/>
    </row>
    <row r="2084" spans="43:43" x14ac:dyDescent="0.25">
      <c r="AQ2084" s="37"/>
    </row>
    <row r="2085" spans="43:43" x14ac:dyDescent="0.25">
      <c r="AQ2085" s="37"/>
    </row>
    <row r="2086" spans="43:43" x14ac:dyDescent="0.25">
      <c r="AQ2086" s="37"/>
    </row>
    <row r="2087" spans="43:43" x14ac:dyDescent="0.25">
      <c r="AQ2087" s="37"/>
    </row>
    <row r="2088" spans="43:43" x14ac:dyDescent="0.25">
      <c r="AQ2088" s="37"/>
    </row>
    <row r="2089" spans="43:43" x14ac:dyDescent="0.25">
      <c r="AQ2089" s="37"/>
    </row>
    <row r="2090" spans="43:43" x14ac:dyDescent="0.25">
      <c r="AQ2090" s="37"/>
    </row>
    <row r="2091" spans="43:43" x14ac:dyDescent="0.25">
      <c r="AQ2091" s="37"/>
    </row>
    <row r="2092" spans="43:43" x14ac:dyDescent="0.25">
      <c r="AQ2092" s="37"/>
    </row>
    <row r="2093" spans="43:43" x14ac:dyDescent="0.25">
      <c r="AQ2093" s="37"/>
    </row>
    <row r="2094" spans="43:43" x14ac:dyDescent="0.25">
      <c r="AQ2094" s="37"/>
    </row>
    <row r="2095" spans="43:43" x14ac:dyDescent="0.25">
      <c r="AQ2095" s="37"/>
    </row>
    <row r="2096" spans="43:43" x14ac:dyDescent="0.25">
      <c r="AQ2096" s="37"/>
    </row>
    <row r="2097" spans="43:43" x14ac:dyDescent="0.25">
      <c r="AQ2097" s="37"/>
    </row>
    <row r="2098" spans="43:43" x14ac:dyDescent="0.25">
      <c r="AQ2098" s="37"/>
    </row>
    <row r="2099" spans="43:43" x14ac:dyDescent="0.25">
      <c r="AQ2099" s="37"/>
    </row>
    <row r="2100" spans="43:43" x14ac:dyDescent="0.25">
      <c r="AQ2100" s="37"/>
    </row>
    <row r="2101" spans="43:43" x14ac:dyDescent="0.25">
      <c r="AQ2101" s="37"/>
    </row>
    <row r="2102" spans="43:43" x14ac:dyDescent="0.25">
      <c r="AQ2102" s="37"/>
    </row>
    <row r="2103" spans="43:43" x14ac:dyDescent="0.25">
      <c r="AQ2103" s="37"/>
    </row>
    <row r="2104" spans="43:43" x14ac:dyDescent="0.25">
      <c r="AQ2104" s="37"/>
    </row>
    <row r="2105" spans="43:43" x14ac:dyDescent="0.25">
      <c r="AQ2105" s="37"/>
    </row>
    <row r="2106" spans="43:43" x14ac:dyDescent="0.25">
      <c r="AQ2106" s="37"/>
    </row>
    <row r="2107" spans="43:43" x14ac:dyDescent="0.25">
      <c r="AQ2107" s="37"/>
    </row>
    <row r="2108" spans="43:43" x14ac:dyDescent="0.25">
      <c r="AQ2108" s="37"/>
    </row>
    <row r="2109" spans="43:43" x14ac:dyDescent="0.25">
      <c r="AQ2109" s="37"/>
    </row>
    <row r="2110" spans="43:43" x14ac:dyDescent="0.25">
      <c r="AQ2110" s="37"/>
    </row>
    <row r="2111" spans="43:43" x14ac:dyDescent="0.25">
      <c r="AQ2111" s="37"/>
    </row>
    <row r="2112" spans="43:43" x14ac:dyDescent="0.25">
      <c r="AQ2112" s="37"/>
    </row>
    <row r="2113" spans="43:43" x14ac:dyDescent="0.25">
      <c r="AQ2113" s="37"/>
    </row>
    <row r="2114" spans="43:43" x14ac:dyDescent="0.25">
      <c r="AQ2114" s="37"/>
    </row>
    <row r="2115" spans="43:43" x14ac:dyDescent="0.25">
      <c r="AQ2115" s="37"/>
    </row>
    <row r="2116" spans="43:43" x14ac:dyDescent="0.25">
      <c r="AQ2116" s="37"/>
    </row>
    <row r="2117" spans="43:43" x14ac:dyDescent="0.25">
      <c r="AQ2117" s="37"/>
    </row>
    <row r="2118" spans="43:43" x14ac:dyDescent="0.25">
      <c r="AQ2118" s="37"/>
    </row>
    <row r="2119" spans="43:43" x14ac:dyDescent="0.25">
      <c r="AQ2119" s="37"/>
    </row>
    <row r="2120" spans="43:43" x14ac:dyDescent="0.25">
      <c r="AQ2120" s="37"/>
    </row>
    <row r="2121" spans="43:43" x14ac:dyDescent="0.25">
      <c r="AQ2121" s="37"/>
    </row>
    <row r="2122" spans="43:43" x14ac:dyDescent="0.25">
      <c r="AQ2122" s="37"/>
    </row>
    <row r="2123" spans="43:43" x14ac:dyDescent="0.25">
      <c r="AQ2123" s="37"/>
    </row>
    <row r="2124" spans="43:43" x14ac:dyDescent="0.25">
      <c r="AQ2124" s="37"/>
    </row>
    <row r="2125" spans="43:43" x14ac:dyDescent="0.25">
      <c r="AQ2125" s="37"/>
    </row>
    <row r="2126" spans="43:43" x14ac:dyDescent="0.25">
      <c r="AQ2126" s="37"/>
    </row>
    <row r="2127" spans="43:43" x14ac:dyDescent="0.25">
      <c r="AQ2127" s="37"/>
    </row>
    <row r="2128" spans="43:43" x14ac:dyDescent="0.25">
      <c r="AQ2128" s="37"/>
    </row>
    <row r="2129" spans="43:43" x14ac:dyDescent="0.25">
      <c r="AQ2129" s="37"/>
    </row>
    <row r="2130" spans="43:43" x14ac:dyDescent="0.25">
      <c r="AQ2130" s="37"/>
    </row>
    <row r="2131" spans="43:43" x14ac:dyDescent="0.25">
      <c r="AQ2131" s="37"/>
    </row>
    <row r="2132" spans="43:43" x14ac:dyDescent="0.25">
      <c r="AQ2132" s="37"/>
    </row>
    <row r="2133" spans="43:43" x14ac:dyDescent="0.25">
      <c r="AQ2133" s="37"/>
    </row>
    <row r="2134" spans="43:43" x14ac:dyDescent="0.25">
      <c r="AQ2134" s="37"/>
    </row>
    <row r="2135" spans="43:43" x14ac:dyDescent="0.25">
      <c r="AQ2135" s="37"/>
    </row>
    <row r="2136" spans="43:43" x14ac:dyDescent="0.25">
      <c r="AQ2136" s="37"/>
    </row>
    <row r="2137" spans="43:43" x14ac:dyDescent="0.25">
      <c r="AQ2137" s="37"/>
    </row>
    <row r="2138" spans="43:43" x14ac:dyDescent="0.25">
      <c r="AQ2138" s="37"/>
    </row>
    <row r="2139" spans="43:43" x14ac:dyDescent="0.25">
      <c r="AQ2139" s="37"/>
    </row>
    <row r="2140" spans="43:43" x14ac:dyDescent="0.25">
      <c r="AQ2140" s="37"/>
    </row>
    <row r="2141" spans="43:43" x14ac:dyDescent="0.25">
      <c r="AQ2141" s="37"/>
    </row>
    <row r="2142" spans="43:43" x14ac:dyDescent="0.25">
      <c r="AQ2142" s="37"/>
    </row>
    <row r="2143" spans="43:43" x14ac:dyDescent="0.25">
      <c r="AQ2143" s="37"/>
    </row>
    <row r="2144" spans="43:43" x14ac:dyDescent="0.25">
      <c r="AQ2144" s="37"/>
    </row>
    <row r="2145" spans="43:43" x14ac:dyDescent="0.25">
      <c r="AQ2145" s="37"/>
    </row>
    <row r="2146" spans="43:43" x14ac:dyDescent="0.25">
      <c r="AQ2146" s="37"/>
    </row>
    <row r="2147" spans="43:43" x14ac:dyDescent="0.25">
      <c r="AQ2147" s="37"/>
    </row>
    <row r="2148" spans="43:43" x14ac:dyDescent="0.25">
      <c r="AQ2148" s="37"/>
    </row>
    <row r="2149" spans="43:43" x14ac:dyDescent="0.25">
      <c r="AQ2149" s="37"/>
    </row>
    <row r="2150" spans="43:43" x14ac:dyDescent="0.25">
      <c r="AQ2150" s="37"/>
    </row>
    <row r="2151" spans="43:43" x14ac:dyDescent="0.25">
      <c r="AQ2151" s="37"/>
    </row>
    <row r="2152" spans="43:43" x14ac:dyDescent="0.25">
      <c r="AQ2152" s="37"/>
    </row>
    <row r="2153" spans="43:43" x14ac:dyDescent="0.25">
      <c r="AQ2153" s="37"/>
    </row>
    <row r="2154" spans="43:43" x14ac:dyDescent="0.25">
      <c r="AQ2154" s="37"/>
    </row>
    <row r="2155" spans="43:43" x14ac:dyDescent="0.25">
      <c r="AQ2155" s="37"/>
    </row>
    <row r="2156" spans="43:43" x14ac:dyDescent="0.25">
      <c r="AQ2156" s="37"/>
    </row>
    <row r="2157" spans="43:43" x14ac:dyDescent="0.25">
      <c r="AQ2157" s="37"/>
    </row>
    <row r="2158" spans="43:43" x14ac:dyDescent="0.25">
      <c r="AQ2158" s="37"/>
    </row>
    <row r="2159" spans="43:43" x14ac:dyDescent="0.25">
      <c r="AQ2159" s="37"/>
    </row>
    <row r="2160" spans="43:43" x14ac:dyDescent="0.25">
      <c r="AQ2160" s="37"/>
    </row>
    <row r="2161" spans="43:43" x14ac:dyDescent="0.25">
      <c r="AQ2161" s="37"/>
    </row>
    <row r="2162" spans="43:43" x14ac:dyDescent="0.25">
      <c r="AQ2162" s="37"/>
    </row>
    <row r="2163" spans="43:43" x14ac:dyDescent="0.25">
      <c r="AQ2163" s="37"/>
    </row>
    <row r="2164" spans="43:43" x14ac:dyDescent="0.25">
      <c r="AQ2164" s="37"/>
    </row>
    <row r="2165" spans="43:43" x14ac:dyDescent="0.25">
      <c r="AQ2165" s="37"/>
    </row>
    <row r="2166" spans="43:43" x14ac:dyDescent="0.25">
      <c r="AQ2166" s="37"/>
    </row>
    <row r="2167" spans="43:43" x14ac:dyDescent="0.25">
      <c r="AQ2167" s="37"/>
    </row>
    <row r="2168" spans="43:43" x14ac:dyDescent="0.25">
      <c r="AQ2168" s="37"/>
    </row>
    <row r="2169" spans="43:43" x14ac:dyDescent="0.25">
      <c r="AQ2169" s="37"/>
    </row>
    <row r="2170" spans="43:43" x14ac:dyDescent="0.25">
      <c r="AQ2170" s="37"/>
    </row>
    <row r="2171" spans="43:43" x14ac:dyDescent="0.25">
      <c r="AQ2171" s="37"/>
    </row>
    <row r="2172" spans="43:43" x14ac:dyDescent="0.25">
      <c r="AQ2172" s="37"/>
    </row>
    <row r="2173" spans="43:43" x14ac:dyDescent="0.25">
      <c r="AQ2173" s="37"/>
    </row>
    <row r="2174" spans="43:43" x14ac:dyDescent="0.25">
      <c r="AQ2174" s="37"/>
    </row>
    <row r="2175" spans="43:43" x14ac:dyDescent="0.25">
      <c r="AQ2175" s="37"/>
    </row>
    <row r="2176" spans="43:43" x14ac:dyDescent="0.25">
      <c r="AQ2176" s="37"/>
    </row>
    <row r="2177" spans="43:43" x14ac:dyDescent="0.25">
      <c r="AQ2177" s="37"/>
    </row>
    <row r="2178" spans="43:43" x14ac:dyDescent="0.25">
      <c r="AQ2178" s="37"/>
    </row>
    <row r="2179" spans="43:43" x14ac:dyDescent="0.25">
      <c r="AQ2179" s="37"/>
    </row>
    <row r="2180" spans="43:43" x14ac:dyDescent="0.25">
      <c r="AQ2180" s="37"/>
    </row>
    <row r="2181" spans="43:43" x14ac:dyDescent="0.25">
      <c r="AQ2181" s="37"/>
    </row>
    <row r="2182" spans="43:43" x14ac:dyDescent="0.25">
      <c r="AQ2182" s="37"/>
    </row>
    <row r="2183" spans="43:43" x14ac:dyDescent="0.25">
      <c r="AQ2183" s="37"/>
    </row>
    <row r="2184" spans="43:43" x14ac:dyDescent="0.25">
      <c r="AQ2184" s="37"/>
    </row>
    <row r="2185" spans="43:43" x14ac:dyDescent="0.25">
      <c r="AQ2185" s="37"/>
    </row>
    <row r="2186" spans="43:43" x14ac:dyDescent="0.25">
      <c r="AQ2186" s="37"/>
    </row>
    <row r="2187" spans="43:43" x14ac:dyDescent="0.25">
      <c r="AQ2187" s="37"/>
    </row>
    <row r="2188" spans="43:43" x14ac:dyDescent="0.25">
      <c r="AQ2188" s="37"/>
    </row>
    <row r="2189" spans="43:43" x14ac:dyDescent="0.25">
      <c r="AQ2189" s="37"/>
    </row>
    <row r="2190" spans="43:43" x14ac:dyDescent="0.25">
      <c r="AQ2190" s="37"/>
    </row>
    <row r="2191" spans="43:43" x14ac:dyDescent="0.25">
      <c r="AQ2191" s="37"/>
    </row>
    <row r="2192" spans="43:43" x14ac:dyDescent="0.25">
      <c r="AQ2192" s="37"/>
    </row>
    <row r="2193" spans="43:43" x14ac:dyDescent="0.25">
      <c r="AQ2193" s="37"/>
    </row>
    <row r="2194" spans="43:43" x14ac:dyDescent="0.25">
      <c r="AQ2194" s="37"/>
    </row>
    <row r="2195" spans="43:43" x14ac:dyDescent="0.25">
      <c r="AQ2195" s="37"/>
    </row>
    <row r="2196" spans="43:43" x14ac:dyDescent="0.25">
      <c r="AQ2196" s="37"/>
    </row>
    <row r="2197" spans="43:43" x14ac:dyDescent="0.25">
      <c r="AQ2197" s="37"/>
    </row>
    <row r="2198" spans="43:43" x14ac:dyDescent="0.25">
      <c r="AQ2198" s="37"/>
    </row>
    <row r="2199" spans="43:43" x14ac:dyDescent="0.25">
      <c r="AQ2199" s="37"/>
    </row>
    <row r="2200" spans="43:43" x14ac:dyDescent="0.25">
      <c r="AQ2200" s="37"/>
    </row>
    <row r="2201" spans="43:43" x14ac:dyDescent="0.25">
      <c r="AQ2201" s="37"/>
    </row>
    <row r="2202" spans="43:43" x14ac:dyDescent="0.25">
      <c r="AQ2202" s="37"/>
    </row>
    <row r="2203" spans="43:43" x14ac:dyDescent="0.25">
      <c r="AQ2203" s="37"/>
    </row>
    <row r="2204" spans="43:43" x14ac:dyDescent="0.25">
      <c r="AQ2204" s="37"/>
    </row>
    <row r="2205" spans="43:43" x14ac:dyDescent="0.25">
      <c r="AQ2205" s="37"/>
    </row>
    <row r="2206" spans="43:43" x14ac:dyDescent="0.25">
      <c r="AQ2206" s="37"/>
    </row>
    <row r="2207" spans="43:43" x14ac:dyDescent="0.25">
      <c r="AQ2207" s="37"/>
    </row>
    <row r="2208" spans="43:43" x14ac:dyDescent="0.25">
      <c r="AQ2208" s="37"/>
    </row>
    <row r="2209" spans="43:43" x14ac:dyDescent="0.25">
      <c r="AQ2209" s="37"/>
    </row>
    <row r="2210" spans="43:43" x14ac:dyDescent="0.25">
      <c r="AQ2210" s="37"/>
    </row>
    <row r="2211" spans="43:43" x14ac:dyDescent="0.25">
      <c r="AQ2211" s="37"/>
    </row>
    <row r="2212" spans="43:43" x14ac:dyDescent="0.25">
      <c r="AQ2212" s="37"/>
    </row>
    <row r="2213" spans="43:43" x14ac:dyDescent="0.25">
      <c r="AQ2213" s="37"/>
    </row>
    <row r="2214" spans="43:43" x14ac:dyDescent="0.25">
      <c r="AQ2214" s="37"/>
    </row>
    <row r="2215" spans="43:43" x14ac:dyDescent="0.25">
      <c r="AQ2215" s="37"/>
    </row>
    <row r="2216" spans="43:43" x14ac:dyDescent="0.25">
      <c r="AQ2216" s="37"/>
    </row>
    <row r="2217" spans="43:43" x14ac:dyDescent="0.25">
      <c r="AQ2217" s="37"/>
    </row>
    <row r="2218" spans="43:43" x14ac:dyDescent="0.25">
      <c r="AQ2218" s="37"/>
    </row>
    <row r="2219" spans="43:43" x14ac:dyDescent="0.25">
      <c r="AQ2219" s="37"/>
    </row>
    <row r="2220" spans="43:43" x14ac:dyDescent="0.25">
      <c r="AQ2220" s="37"/>
    </row>
    <row r="2221" spans="43:43" x14ac:dyDescent="0.25">
      <c r="AQ2221" s="37"/>
    </row>
    <row r="2222" spans="43:43" x14ac:dyDescent="0.25">
      <c r="AQ2222" s="37"/>
    </row>
    <row r="2223" spans="43:43" x14ac:dyDescent="0.25">
      <c r="AQ2223" s="37"/>
    </row>
    <row r="2224" spans="43:43" x14ac:dyDescent="0.25">
      <c r="AQ2224" s="37"/>
    </row>
    <row r="2225" spans="43:43" x14ac:dyDescent="0.25">
      <c r="AQ2225" s="37"/>
    </row>
    <row r="2226" spans="43:43" x14ac:dyDescent="0.25">
      <c r="AQ2226" s="37"/>
    </row>
    <row r="2227" spans="43:43" x14ac:dyDescent="0.25">
      <c r="AQ2227" s="37"/>
    </row>
    <row r="2228" spans="43:43" x14ac:dyDescent="0.25">
      <c r="AQ2228" s="37"/>
    </row>
    <row r="2229" spans="43:43" x14ac:dyDescent="0.25">
      <c r="AQ2229" s="37"/>
    </row>
    <row r="2230" spans="43:43" x14ac:dyDescent="0.25">
      <c r="AQ2230" s="37"/>
    </row>
    <row r="2231" spans="43:43" x14ac:dyDescent="0.25">
      <c r="AQ2231" s="37"/>
    </row>
    <row r="2232" spans="43:43" x14ac:dyDescent="0.25">
      <c r="AQ2232" s="37"/>
    </row>
    <row r="2233" spans="43:43" x14ac:dyDescent="0.25">
      <c r="AQ2233" s="37"/>
    </row>
    <row r="2234" spans="43:43" x14ac:dyDescent="0.25">
      <c r="AQ2234" s="37"/>
    </row>
    <row r="2235" spans="43:43" x14ac:dyDescent="0.25">
      <c r="AQ2235" s="37"/>
    </row>
    <row r="2236" spans="43:43" x14ac:dyDescent="0.25">
      <c r="AQ2236" s="37"/>
    </row>
    <row r="2237" spans="43:43" x14ac:dyDescent="0.25">
      <c r="AQ2237" s="37"/>
    </row>
    <row r="2238" spans="43:43" x14ac:dyDescent="0.25">
      <c r="AQ2238" s="37"/>
    </row>
    <row r="2239" spans="43:43" x14ac:dyDescent="0.25">
      <c r="AQ2239" s="37"/>
    </row>
    <row r="2240" spans="43:43" x14ac:dyDescent="0.25">
      <c r="AQ2240" s="37"/>
    </row>
    <row r="2241" spans="43:43" x14ac:dyDescent="0.25">
      <c r="AQ2241" s="37"/>
    </row>
    <row r="2242" spans="43:43" x14ac:dyDescent="0.25">
      <c r="AQ2242" s="37"/>
    </row>
    <row r="2243" spans="43:43" x14ac:dyDescent="0.25">
      <c r="AQ2243" s="37"/>
    </row>
    <row r="2244" spans="43:43" x14ac:dyDescent="0.25">
      <c r="AQ2244" s="37"/>
    </row>
    <row r="2245" spans="43:43" x14ac:dyDescent="0.25">
      <c r="AQ2245" s="37"/>
    </row>
    <row r="2246" spans="43:43" x14ac:dyDescent="0.25">
      <c r="AQ2246" s="37"/>
    </row>
    <row r="2247" spans="43:43" x14ac:dyDescent="0.25">
      <c r="AQ2247" s="37"/>
    </row>
    <row r="2248" spans="43:43" x14ac:dyDescent="0.25">
      <c r="AQ2248" s="37"/>
    </row>
    <row r="2249" spans="43:43" x14ac:dyDescent="0.25">
      <c r="AQ2249" s="37"/>
    </row>
    <row r="2250" spans="43:43" x14ac:dyDescent="0.25">
      <c r="AQ2250" s="37"/>
    </row>
    <row r="2251" spans="43:43" x14ac:dyDescent="0.25">
      <c r="AQ2251" s="37"/>
    </row>
    <row r="2252" spans="43:43" x14ac:dyDescent="0.25">
      <c r="AQ2252" s="37"/>
    </row>
    <row r="2253" spans="43:43" x14ac:dyDescent="0.25">
      <c r="AQ2253" s="37"/>
    </row>
    <row r="2254" spans="43:43" x14ac:dyDescent="0.25">
      <c r="AQ2254" s="37"/>
    </row>
    <row r="2255" spans="43:43" x14ac:dyDescent="0.25">
      <c r="AQ2255" s="37"/>
    </row>
    <row r="2256" spans="43:43" x14ac:dyDescent="0.25">
      <c r="AQ2256" s="37"/>
    </row>
    <row r="2257" spans="43:43" x14ac:dyDescent="0.25">
      <c r="AQ2257" s="37"/>
    </row>
    <row r="2258" spans="43:43" x14ac:dyDescent="0.25">
      <c r="AQ2258" s="37"/>
    </row>
    <row r="2259" spans="43:43" x14ac:dyDescent="0.25">
      <c r="AQ2259" s="37"/>
    </row>
    <row r="2260" spans="43:43" x14ac:dyDescent="0.25">
      <c r="AQ2260" s="37"/>
    </row>
    <row r="2261" spans="43:43" x14ac:dyDescent="0.25">
      <c r="AQ2261" s="37"/>
    </row>
    <row r="2262" spans="43:43" x14ac:dyDescent="0.25">
      <c r="AQ2262" s="37"/>
    </row>
    <row r="2263" spans="43:43" x14ac:dyDescent="0.25">
      <c r="AQ2263" s="37"/>
    </row>
    <row r="2264" spans="43:43" x14ac:dyDescent="0.25">
      <c r="AQ2264" s="37"/>
    </row>
    <row r="2265" spans="43:43" x14ac:dyDescent="0.25">
      <c r="AQ2265" s="37"/>
    </row>
    <row r="2266" spans="43:43" x14ac:dyDescent="0.25">
      <c r="AQ2266" s="37"/>
    </row>
    <row r="2267" spans="43:43" x14ac:dyDescent="0.25">
      <c r="AQ2267" s="37"/>
    </row>
    <row r="2268" spans="43:43" x14ac:dyDescent="0.25">
      <c r="AQ2268" s="37"/>
    </row>
    <row r="2269" spans="43:43" x14ac:dyDescent="0.25">
      <c r="AQ2269" s="37"/>
    </row>
    <row r="2270" spans="43:43" x14ac:dyDescent="0.25">
      <c r="AQ2270" s="37"/>
    </row>
    <row r="2271" spans="43:43" x14ac:dyDescent="0.25">
      <c r="AQ2271" s="37"/>
    </row>
    <row r="2272" spans="43:43" x14ac:dyDescent="0.25">
      <c r="AQ2272" s="37"/>
    </row>
    <row r="2273" spans="43:43" x14ac:dyDescent="0.25">
      <c r="AQ2273" s="37"/>
    </row>
    <row r="2274" spans="43:43" x14ac:dyDescent="0.25">
      <c r="AQ2274" s="37"/>
    </row>
    <row r="2275" spans="43:43" x14ac:dyDescent="0.25">
      <c r="AQ2275" s="37"/>
    </row>
    <row r="2276" spans="43:43" x14ac:dyDescent="0.25">
      <c r="AQ2276" s="37"/>
    </row>
    <row r="2277" spans="43:43" x14ac:dyDescent="0.25">
      <c r="AQ2277" s="37"/>
    </row>
    <row r="2278" spans="43:43" x14ac:dyDescent="0.25">
      <c r="AQ2278" s="37"/>
    </row>
    <row r="2279" spans="43:43" x14ac:dyDescent="0.25">
      <c r="AQ2279" s="37"/>
    </row>
    <row r="2280" spans="43:43" x14ac:dyDescent="0.25">
      <c r="AQ2280" s="37"/>
    </row>
    <row r="2281" spans="43:43" x14ac:dyDescent="0.25">
      <c r="AQ2281" s="37"/>
    </row>
    <row r="2282" spans="43:43" x14ac:dyDescent="0.25">
      <c r="AQ2282" s="37"/>
    </row>
    <row r="2283" spans="43:43" x14ac:dyDescent="0.25">
      <c r="AQ2283" s="37"/>
    </row>
    <row r="2284" spans="43:43" x14ac:dyDescent="0.25">
      <c r="AQ2284" s="37"/>
    </row>
    <row r="2285" spans="43:43" x14ac:dyDescent="0.25">
      <c r="AQ2285" s="37"/>
    </row>
    <row r="2286" spans="43:43" x14ac:dyDescent="0.25">
      <c r="AQ2286" s="37"/>
    </row>
    <row r="2287" spans="43:43" x14ac:dyDescent="0.25">
      <c r="AQ2287" s="37"/>
    </row>
    <row r="2288" spans="43:43" x14ac:dyDescent="0.25">
      <c r="AQ2288" s="37"/>
    </row>
    <row r="2289" spans="43:43" x14ac:dyDescent="0.25">
      <c r="AQ2289" s="37"/>
    </row>
    <row r="2290" spans="43:43" x14ac:dyDescent="0.25">
      <c r="AQ2290" s="37"/>
    </row>
    <row r="2291" spans="43:43" x14ac:dyDescent="0.25">
      <c r="AQ2291" s="37"/>
    </row>
    <row r="2292" spans="43:43" x14ac:dyDescent="0.25">
      <c r="AQ2292" s="37"/>
    </row>
    <row r="2293" spans="43:43" x14ac:dyDescent="0.25">
      <c r="AQ2293" s="37"/>
    </row>
    <row r="2294" spans="43:43" x14ac:dyDescent="0.25">
      <c r="AQ2294" s="37"/>
    </row>
    <row r="2295" spans="43:43" x14ac:dyDescent="0.25">
      <c r="AQ2295" s="37"/>
    </row>
    <row r="2296" spans="43:43" x14ac:dyDescent="0.25">
      <c r="AQ2296" s="37"/>
    </row>
    <row r="2297" spans="43:43" x14ac:dyDescent="0.25">
      <c r="AQ2297" s="37"/>
    </row>
    <row r="2298" spans="43:43" x14ac:dyDescent="0.25">
      <c r="AQ2298" s="37"/>
    </row>
    <row r="2299" spans="43:43" x14ac:dyDescent="0.25">
      <c r="AQ2299" s="37"/>
    </row>
    <row r="2300" spans="43:43" x14ac:dyDescent="0.25">
      <c r="AQ2300" s="37"/>
    </row>
    <row r="2301" spans="43:43" x14ac:dyDescent="0.25">
      <c r="AQ2301" s="37"/>
    </row>
    <row r="2302" spans="43:43" x14ac:dyDescent="0.25">
      <c r="AQ2302" s="37"/>
    </row>
    <row r="2303" spans="43:43" x14ac:dyDescent="0.25">
      <c r="AQ2303" s="37"/>
    </row>
    <row r="2304" spans="43:43" x14ac:dyDescent="0.25">
      <c r="AQ2304" s="37"/>
    </row>
    <row r="2305" spans="43:43" x14ac:dyDescent="0.25">
      <c r="AQ2305" s="37"/>
    </row>
    <row r="2306" spans="43:43" x14ac:dyDescent="0.25">
      <c r="AQ2306" s="37"/>
    </row>
    <row r="2307" spans="43:43" x14ac:dyDescent="0.25">
      <c r="AQ2307" s="37"/>
    </row>
    <row r="2308" spans="43:43" x14ac:dyDescent="0.25">
      <c r="AQ2308" s="37"/>
    </row>
    <row r="2309" spans="43:43" x14ac:dyDescent="0.25">
      <c r="AQ2309" s="37"/>
    </row>
    <row r="2310" spans="43:43" x14ac:dyDescent="0.25">
      <c r="AQ2310" s="37"/>
    </row>
    <row r="2311" spans="43:43" x14ac:dyDescent="0.25">
      <c r="AQ2311" s="37"/>
    </row>
    <row r="2312" spans="43:43" x14ac:dyDescent="0.25">
      <c r="AQ2312" s="37"/>
    </row>
    <row r="2313" spans="43:43" x14ac:dyDescent="0.25">
      <c r="AQ2313" s="37"/>
    </row>
    <row r="2314" spans="43:43" x14ac:dyDescent="0.25">
      <c r="AQ2314" s="37"/>
    </row>
    <row r="2315" spans="43:43" x14ac:dyDescent="0.25">
      <c r="AQ2315" s="37"/>
    </row>
    <row r="2316" spans="43:43" x14ac:dyDescent="0.25">
      <c r="AQ2316" s="37"/>
    </row>
    <row r="2317" spans="43:43" x14ac:dyDescent="0.25">
      <c r="AQ2317" s="37"/>
    </row>
    <row r="2318" spans="43:43" x14ac:dyDescent="0.25">
      <c r="AQ2318" s="37"/>
    </row>
    <row r="2319" spans="43:43" x14ac:dyDescent="0.25">
      <c r="AQ2319" s="37"/>
    </row>
    <row r="2320" spans="43:43" x14ac:dyDescent="0.25">
      <c r="AQ2320" s="37"/>
    </row>
    <row r="2321" spans="43:43" x14ac:dyDescent="0.25">
      <c r="AQ2321" s="37"/>
    </row>
    <row r="2322" spans="43:43" x14ac:dyDescent="0.25">
      <c r="AQ2322" s="37"/>
    </row>
    <row r="2323" spans="43:43" x14ac:dyDescent="0.25">
      <c r="AQ2323" s="37"/>
    </row>
    <row r="2324" spans="43:43" x14ac:dyDescent="0.25">
      <c r="AQ2324" s="37"/>
    </row>
    <row r="2325" spans="43:43" x14ac:dyDescent="0.25">
      <c r="AQ2325" s="37"/>
    </row>
    <row r="2326" spans="43:43" x14ac:dyDescent="0.25">
      <c r="AQ2326" s="37"/>
    </row>
    <row r="2327" spans="43:43" x14ac:dyDescent="0.25">
      <c r="AQ2327" s="37"/>
    </row>
    <row r="2328" spans="43:43" x14ac:dyDescent="0.25">
      <c r="AQ2328" s="37"/>
    </row>
    <row r="2329" spans="43:43" x14ac:dyDescent="0.25">
      <c r="AQ2329" s="37"/>
    </row>
    <row r="2330" spans="43:43" x14ac:dyDescent="0.25">
      <c r="AQ2330" s="37"/>
    </row>
    <row r="2331" spans="43:43" x14ac:dyDescent="0.25">
      <c r="AQ2331" s="37"/>
    </row>
    <row r="2332" spans="43:43" x14ac:dyDescent="0.25">
      <c r="AQ2332" s="37"/>
    </row>
    <row r="2333" spans="43:43" x14ac:dyDescent="0.25">
      <c r="AQ2333" s="37"/>
    </row>
    <row r="2334" spans="43:43" x14ac:dyDescent="0.25">
      <c r="AQ2334" s="37"/>
    </row>
    <row r="2335" spans="43:43" x14ac:dyDescent="0.25">
      <c r="AQ2335" s="37"/>
    </row>
    <row r="2336" spans="43:43" x14ac:dyDescent="0.25">
      <c r="AQ2336" s="37"/>
    </row>
    <row r="2337" spans="43:43" x14ac:dyDescent="0.25">
      <c r="AQ2337" s="37"/>
    </row>
    <row r="2338" spans="43:43" x14ac:dyDescent="0.25">
      <c r="AQ2338" s="37"/>
    </row>
    <row r="2339" spans="43:43" x14ac:dyDescent="0.25">
      <c r="AQ2339" s="37"/>
    </row>
    <row r="2340" spans="43:43" x14ac:dyDescent="0.25">
      <c r="AQ2340" s="37"/>
    </row>
    <row r="2341" spans="43:43" x14ac:dyDescent="0.25">
      <c r="AQ2341" s="37"/>
    </row>
    <row r="2342" spans="43:43" x14ac:dyDescent="0.25">
      <c r="AQ2342" s="37"/>
    </row>
    <row r="2343" spans="43:43" x14ac:dyDescent="0.25">
      <c r="AQ2343" s="37"/>
    </row>
    <row r="2344" spans="43:43" x14ac:dyDescent="0.25">
      <c r="AQ2344" s="37"/>
    </row>
    <row r="2345" spans="43:43" x14ac:dyDescent="0.25">
      <c r="AQ2345" s="37"/>
    </row>
    <row r="2346" spans="43:43" x14ac:dyDescent="0.25">
      <c r="AQ2346" s="37"/>
    </row>
    <row r="2347" spans="43:43" x14ac:dyDescent="0.25">
      <c r="AQ2347" s="37"/>
    </row>
    <row r="2348" spans="43:43" x14ac:dyDescent="0.25">
      <c r="AQ2348" s="37"/>
    </row>
    <row r="2349" spans="43:43" x14ac:dyDescent="0.25">
      <c r="AQ2349" s="37"/>
    </row>
    <row r="2350" spans="43:43" x14ac:dyDescent="0.25">
      <c r="AQ2350" s="37"/>
    </row>
    <row r="2351" spans="43:43" x14ac:dyDescent="0.25">
      <c r="AQ2351" s="37"/>
    </row>
    <row r="2352" spans="43:43" x14ac:dyDescent="0.25">
      <c r="AQ2352" s="37"/>
    </row>
    <row r="2353" spans="43:43" x14ac:dyDescent="0.25">
      <c r="AQ2353" s="37"/>
    </row>
    <row r="2354" spans="43:43" x14ac:dyDescent="0.25">
      <c r="AQ2354" s="37"/>
    </row>
    <row r="2355" spans="43:43" x14ac:dyDescent="0.25">
      <c r="AQ2355" s="37"/>
    </row>
    <row r="2356" spans="43:43" x14ac:dyDescent="0.25">
      <c r="AQ2356" s="37"/>
    </row>
    <row r="2357" spans="43:43" x14ac:dyDescent="0.25">
      <c r="AQ2357" s="37"/>
    </row>
    <row r="2358" spans="43:43" x14ac:dyDescent="0.25">
      <c r="AQ2358" s="37"/>
    </row>
    <row r="2359" spans="43:43" x14ac:dyDescent="0.25">
      <c r="AQ2359" s="37"/>
    </row>
    <row r="2360" spans="43:43" x14ac:dyDescent="0.25">
      <c r="AQ2360" s="37"/>
    </row>
    <row r="2361" spans="43:43" x14ac:dyDescent="0.25">
      <c r="AQ2361" s="37"/>
    </row>
    <row r="2362" spans="43:43" x14ac:dyDescent="0.25">
      <c r="AQ2362" s="37"/>
    </row>
    <row r="2363" spans="43:43" x14ac:dyDescent="0.25">
      <c r="AQ2363" s="37"/>
    </row>
    <row r="2364" spans="43:43" x14ac:dyDescent="0.25">
      <c r="AQ2364" s="37"/>
    </row>
    <row r="2365" spans="43:43" x14ac:dyDescent="0.25">
      <c r="AQ2365" s="37"/>
    </row>
    <row r="2366" spans="43:43" x14ac:dyDescent="0.25">
      <c r="AQ2366" s="37"/>
    </row>
    <row r="2367" spans="43:43" x14ac:dyDescent="0.25">
      <c r="AQ2367" s="37"/>
    </row>
    <row r="2368" spans="43:43" x14ac:dyDescent="0.25">
      <c r="AQ2368" s="37"/>
    </row>
    <row r="2369" spans="43:43" x14ac:dyDescent="0.25">
      <c r="AQ2369" s="37"/>
    </row>
    <row r="2370" spans="43:43" x14ac:dyDescent="0.25">
      <c r="AQ2370" s="37"/>
    </row>
    <row r="2371" spans="43:43" x14ac:dyDescent="0.25">
      <c r="AQ2371" s="37"/>
    </row>
    <row r="2372" spans="43:43" x14ac:dyDescent="0.25">
      <c r="AQ2372" s="37"/>
    </row>
    <row r="2373" spans="43:43" x14ac:dyDescent="0.25">
      <c r="AQ2373" s="37"/>
    </row>
    <row r="2374" spans="43:43" x14ac:dyDescent="0.25">
      <c r="AQ2374" s="37"/>
    </row>
    <row r="2375" spans="43:43" x14ac:dyDescent="0.25">
      <c r="AQ2375" s="37"/>
    </row>
    <row r="2376" spans="43:43" x14ac:dyDescent="0.25">
      <c r="AQ2376" s="37"/>
    </row>
    <row r="2377" spans="43:43" x14ac:dyDescent="0.25">
      <c r="AQ2377" s="37"/>
    </row>
    <row r="2378" spans="43:43" x14ac:dyDescent="0.25">
      <c r="AQ2378" s="37"/>
    </row>
    <row r="2379" spans="43:43" x14ac:dyDescent="0.25">
      <c r="AQ2379" s="37"/>
    </row>
    <row r="2380" spans="43:43" x14ac:dyDescent="0.25">
      <c r="AQ2380" s="37"/>
    </row>
    <row r="2381" spans="43:43" x14ac:dyDescent="0.25">
      <c r="AQ2381" s="37"/>
    </row>
    <row r="2382" spans="43:43" x14ac:dyDescent="0.25">
      <c r="AQ2382" s="37"/>
    </row>
    <row r="2383" spans="43:43" x14ac:dyDescent="0.25">
      <c r="AQ2383" s="37"/>
    </row>
    <row r="2384" spans="43:43" x14ac:dyDescent="0.25">
      <c r="AQ2384" s="37"/>
    </row>
    <row r="2385" spans="43:43" x14ac:dyDescent="0.25">
      <c r="AQ2385" s="37"/>
    </row>
    <row r="2386" spans="43:43" x14ac:dyDescent="0.25">
      <c r="AQ2386" s="37"/>
    </row>
    <row r="2387" spans="43:43" x14ac:dyDescent="0.25">
      <c r="AQ2387" s="37"/>
    </row>
    <row r="2388" spans="43:43" x14ac:dyDescent="0.25">
      <c r="AQ2388" s="37"/>
    </row>
    <row r="2389" spans="43:43" x14ac:dyDescent="0.25">
      <c r="AQ2389" s="37"/>
    </row>
    <row r="2390" spans="43:43" x14ac:dyDescent="0.25">
      <c r="AQ2390" s="37"/>
    </row>
    <row r="2391" spans="43:43" x14ac:dyDescent="0.25">
      <c r="AQ2391" s="37"/>
    </row>
    <row r="2392" spans="43:43" x14ac:dyDescent="0.25">
      <c r="AQ2392" s="37"/>
    </row>
    <row r="2393" spans="43:43" x14ac:dyDescent="0.25">
      <c r="AQ2393" s="37"/>
    </row>
    <row r="2394" spans="43:43" x14ac:dyDescent="0.25">
      <c r="AQ2394" s="37"/>
    </row>
    <row r="2395" spans="43:43" x14ac:dyDescent="0.25">
      <c r="AQ2395" s="37"/>
    </row>
    <row r="2396" spans="43:43" x14ac:dyDescent="0.25">
      <c r="AQ2396" s="37"/>
    </row>
    <row r="2397" spans="43:43" x14ac:dyDescent="0.25">
      <c r="AQ2397" s="37"/>
    </row>
    <row r="2398" spans="43:43" x14ac:dyDescent="0.25">
      <c r="AQ2398" s="37"/>
    </row>
    <row r="2399" spans="43:43" x14ac:dyDescent="0.25">
      <c r="AQ2399" s="37"/>
    </row>
    <row r="2400" spans="43:43" x14ac:dyDescent="0.25">
      <c r="AQ2400" s="37"/>
    </row>
    <row r="2401" spans="43:43" x14ac:dyDescent="0.25">
      <c r="AQ2401" s="37"/>
    </row>
    <row r="2402" spans="43:43" x14ac:dyDescent="0.25">
      <c r="AQ2402" s="37"/>
    </row>
    <row r="2403" spans="43:43" x14ac:dyDescent="0.25">
      <c r="AQ2403" s="37"/>
    </row>
    <row r="2404" spans="43:43" x14ac:dyDescent="0.25">
      <c r="AQ2404" s="37"/>
    </row>
    <row r="2405" spans="43:43" x14ac:dyDescent="0.25">
      <c r="AQ2405" s="37"/>
    </row>
    <row r="2406" spans="43:43" x14ac:dyDescent="0.25">
      <c r="AQ2406" s="37"/>
    </row>
    <row r="2407" spans="43:43" x14ac:dyDescent="0.25">
      <c r="AQ2407" s="37"/>
    </row>
    <row r="2408" spans="43:43" x14ac:dyDescent="0.25">
      <c r="AQ2408" s="37"/>
    </row>
    <row r="2409" spans="43:43" x14ac:dyDescent="0.25">
      <c r="AQ2409" s="37"/>
    </row>
    <row r="2410" spans="43:43" x14ac:dyDescent="0.25">
      <c r="AQ2410" s="37"/>
    </row>
    <row r="2411" spans="43:43" x14ac:dyDescent="0.25">
      <c r="AQ2411" s="37"/>
    </row>
    <row r="2412" spans="43:43" x14ac:dyDescent="0.25">
      <c r="AQ2412" s="37"/>
    </row>
    <row r="2413" spans="43:43" x14ac:dyDescent="0.25">
      <c r="AQ2413" s="37"/>
    </row>
    <row r="2414" spans="43:43" x14ac:dyDescent="0.25">
      <c r="AQ2414" s="37"/>
    </row>
    <row r="2415" spans="43:43" x14ac:dyDescent="0.25">
      <c r="AQ2415" s="37"/>
    </row>
    <row r="2416" spans="43:43" x14ac:dyDescent="0.25">
      <c r="AQ2416" s="37"/>
    </row>
    <row r="2417" spans="43:43" x14ac:dyDescent="0.25">
      <c r="AQ2417" s="37"/>
    </row>
    <row r="2418" spans="43:43" x14ac:dyDescent="0.25">
      <c r="AQ2418" s="37"/>
    </row>
    <row r="2419" spans="43:43" x14ac:dyDescent="0.25">
      <c r="AQ2419" s="37"/>
    </row>
    <row r="2420" spans="43:43" x14ac:dyDescent="0.25">
      <c r="AQ2420" s="37"/>
    </row>
    <row r="2421" spans="43:43" x14ac:dyDescent="0.25">
      <c r="AQ2421" s="37"/>
    </row>
    <row r="2422" spans="43:43" x14ac:dyDescent="0.25">
      <c r="AQ2422" s="37"/>
    </row>
    <row r="2423" spans="43:43" x14ac:dyDescent="0.25">
      <c r="AQ2423" s="37"/>
    </row>
    <row r="2424" spans="43:43" x14ac:dyDescent="0.25">
      <c r="AQ2424" s="37"/>
    </row>
    <row r="2425" spans="43:43" x14ac:dyDescent="0.25">
      <c r="AQ2425" s="37"/>
    </row>
    <row r="2426" spans="43:43" x14ac:dyDescent="0.25">
      <c r="AQ2426" s="37"/>
    </row>
    <row r="2427" spans="43:43" x14ac:dyDescent="0.25">
      <c r="AQ2427" s="37"/>
    </row>
    <row r="2428" spans="43:43" x14ac:dyDescent="0.25">
      <c r="AQ2428" s="37"/>
    </row>
    <row r="2429" spans="43:43" x14ac:dyDescent="0.25">
      <c r="AQ2429" s="37"/>
    </row>
    <row r="2430" spans="43:43" x14ac:dyDescent="0.25">
      <c r="AQ2430" s="37"/>
    </row>
    <row r="2431" spans="43:43" x14ac:dyDescent="0.25">
      <c r="AQ2431" s="37"/>
    </row>
    <row r="2432" spans="43:43" x14ac:dyDescent="0.25">
      <c r="AQ2432" s="37"/>
    </row>
    <row r="2433" spans="43:43" x14ac:dyDescent="0.25">
      <c r="AQ2433" s="37"/>
    </row>
    <row r="2434" spans="43:43" x14ac:dyDescent="0.25">
      <c r="AQ2434" s="37"/>
    </row>
    <row r="2435" spans="43:43" x14ac:dyDescent="0.25">
      <c r="AQ2435" s="37"/>
    </row>
    <row r="2436" spans="43:43" x14ac:dyDescent="0.25">
      <c r="AQ2436" s="37"/>
    </row>
    <row r="2437" spans="43:43" x14ac:dyDescent="0.25">
      <c r="AQ2437" s="37"/>
    </row>
    <row r="2438" spans="43:43" x14ac:dyDescent="0.25">
      <c r="AQ2438" s="37"/>
    </row>
    <row r="2439" spans="43:43" x14ac:dyDescent="0.25">
      <c r="AQ2439" s="37"/>
    </row>
    <row r="2440" spans="43:43" x14ac:dyDescent="0.25">
      <c r="AQ2440" s="37"/>
    </row>
    <row r="2441" spans="43:43" x14ac:dyDescent="0.25">
      <c r="AQ2441" s="37"/>
    </row>
    <row r="2442" spans="43:43" x14ac:dyDescent="0.25">
      <c r="AQ2442" s="37"/>
    </row>
    <row r="2443" spans="43:43" x14ac:dyDescent="0.25">
      <c r="AQ2443" s="37"/>
    </row>
    <row r="2444" spans="43:43" x14ac:dyDescent="0.25">
      <c r="AQ2444" s="37"/>
    </row>
    <row r="2445" spans="43:43" x14ac:dyDescent="0.25">
      <c r="AQ2445" s="37"/>
    </row>
    <row r="2446" spans="43:43" x14ac:dyDescent="0.25">
      <c r="AQ2446" s="37"/>
    </row>
    <row r="2447" spans="43:43" x14ac:dyDescent="0.25">
      <c r="AQ2447" s="37"/>
    </row>
    <row r="2448" spans="43:43" x14ac:dyDescent="0.25">
      <c r="AQ2448" s="37"/>
    </row>
    <row r="2449" spans="43:43" x14ac:dyDescent="0.25">
      <c r="AQ2449" s="37"/>
    </row>
    <row r="2450" spans="43:43" x14ac:dyDescent="0.25">
      <c r="AQ2450" s="37"/>
    </row>
    <row r="2451" spans="43:43" x14ac:dyDescent="0.25">
      <c r="AQ2451" s="37"/>
    </row>
    <row r="2452" spans="43:43" x14ac:dyDescent="0.25">
      <c r="AQ2452" s="37"/>
    </row>
    <row r="2453" spans="43:43" x14ac:dyDescent="0.25">
      <c r="AQ2453" s="37"/>
    </row>
    <row r="2454" spans="43:43" x14ac:dyDescent="0.25">
      <c r="AQ2454" s="37"/>
    </row>
    <row r="2455" spans="43:43" x14ac:dyDescent="0.25">
      <c r="AQ2455" s="37"/>
    </row>
    <row r="2456" spans="43:43" x14ac:dyDescent="0.25">
      <c r="AQ2456" s="37"/>
    </row>
    <row r="2457" spans="43:43" x14ac:dyDescent="0.25">
      <c r="AQ2457" s="37"/>
    </row>
    <row r="2458" spans="43:43" x14ac:dyDescent="0.25">
      <c r="AQ2458" s="37"/>
    </row>
    <row r="2459" spans="43:43" x14ac:dyDescent="0.25">
      <c r="AQ2459" s="37"/>
    </row>
    <row r="2460" spans="43:43" x14ac:dyDescent="0.25">
      <c r="AQ2460" s="37"/>
    </row>
    <row r="2461" spans="43:43" x14ac:dyDescent="0.25">
      <c r="AQ2461" s="37"/>
    </row>
    <row r="2462" spans="43:43" x14ac:dyDescent="0.25">
      <c r="AQ2462" s="37"/>
    </row>
    <row r="2463" spans="43:43" x14ac:dyDescent="0.25">
      <c r="AQ2463" s="37"/>
    </row>
    <row r="2464" spans="43:43" x14ac:dyDescent="0.25">
      <c r="AQ2464" s="37"/>
    </row>
    <row r="2465" spans="43:43" x14ac:dyDescent="0.25">
      <c r="AQ2465" s="37"/>
    </row>
    <row r="2466" spans="43:43" x14ac:dyDescent="0.25">
      <c r="AQ2466" s="37"/>
    </row>
    <row r="2467" spans="43:43" x14ac:dyDescent="0.25">
      <c r="AQ2467" s="37"/>
    </row>
    <row r="2468" spans="43:43" x14ac:dyDescent="0.25">
      <c r="AQ2468" s="37"/>
    </row>
    <row r="2469" spans="43:43" x14ac:dyDescent="0.25">
      <c r="AQ2469" s="37"/>
    </row>
    <row r="2470" spans="43:43" x14ac:dyDescent="0.25">
      <c r="AQ2470" s="37"/>
    </row>
    <row r="2471" spans="43:43" x14ac:dyDescent="0.25">
      <c r="AQ2471" s="37"/>
    </row>
    <row r="2472" spans="43:43" x14ac:dyDescent="0.25">
      <c r="AQ2472" s="37"/>
    </row>
    <row r="2473" spans="43:43" x14ac:dyDescent="0.25">
      <c r="AQ2473" s="37"/>
    </row>
    <row r="2474" spans="43:43" x14ac:dyDescent="0.25">
      <c r="AQ2474" s="37"/>
    </row>
    <row r="2475" spans="43:43" x14ac:dyDescent="0.25">
      <c r="AQ2475" s="37"/>
    </row>
    <row r="2476" spans="43:43" x14ac:dyDescent="0.25">
      <c r="AQ2476" s="37"/>
    </row>
    <row r="2477" spans="43:43" x14ac:dyDescent="0.25">
      <c r="AQ2477" s="37"/>
    </row>
    <row r="2478" spans="43:43" x14ac:dyDescent="0.25">
      <c r="AQ2478" s="37"/>
    </row>
    <row r="2479" spans="43:43" x14ac:dyDescent="0.25">
      <c r="AQ2479" s="37"/>
    </row>
    <row r="2480" spans="43:43" x14ac:dyDescent="0.25">
      <c r="AQ2480" s="37"/>
    </row>
    <row r="2481" spans="43:43" x14ac:dyDescent="0.25">
      <c r="AQ2481" s="37"/>
    </row>
    <row r="2482" spans="43:43" x14ac:dyDescent="0.25">
      <c r="AQ2482" s="37"/>
    </row>
    <row r="2483" spans="43:43" x14ac:dyDescent="0.25">
      <c r="AQ2483" s="37"/>
    </row>
    <row r="2484" spans="43:43" x14ac:dyDescent="0.25">
      <c r="AQ2484" s="37"/>
    </row>
    <row r="2485" spans="43:43" x14ac:dyDescent="0.25">
      <c r="AQ2485" s="37"/>
    </row>
    <row r="2486" spans="43:43" x14ac:dyDescent="0.25">
      <c r="AQ2486" s="37"/>
    </row>
    <row r="2487" spans="43:43" x14ac:dyDescent="0.25">
      <c r="AQ2487" s="37"/>
    </row>
    <row r="2488" spans="43:43" x14ac:dyDescent="0.25">
      <c r="AQ2488" s="37"/>
    </row>
    <row r="2489" spans="43:43" x14ac:dyDescent="0.25">
      <c r="AQ2489" s="37"/>
    </row>
    <row r="2490" spans="43:43" x14ac:dyDescent="0.25">
      <c r="AQ2490" s="37"/>
    </row>
    <row r="2491" spans="43:43" x14ac:dyDescent="0.25">
      <c r="AQ2491" s="37"/>
    </row>
    <row r="2492" spans="43:43" x14ac:dyDescent="0.25">
      <c r="AQ2492" s="37"/>
    </row>
    <row r="2493" spans="43:43" x14ac:dyDescent="0.25">
      <c r="AQ2493" s="37"/>
    </row>
    <row r="2494" spans="43:43" x14ac:dyDescent="0.25">
      <c r="AQ2494" s="37"/>
    </row>
    <row r="2495" spans="43:43" x14ac:dyDescent="0.25">
      <c r="AQ2495" s="37"/>
    </row>
    <row r="2496" spans="43:43" x14ac:dyDescent="0.25">
      <c r="AQ2496" s="37"/>
    </row>
    <row r="2497" spans="43:43" x14ac:dyDescent="0.25">
      <c r="AQ2497" s="37"/>
    </row>
    <row r="2498" spans="43:43" x14ac:dyDescent="0.25">
      <c r="AQ2498" s="37"/>
    </row>
    <row r="2499" spans="43:43" x14ac:dyDescent="0.25">
      <c r="AQ2499" s="37"/>
    </row>
    <row r="2500" spans="43:43" x14ac:dyDescent="0.25">
      <c r="AQ2500" s="37"/>
    </row>
    <row r="2501" spans="43:43" x14ac:dyDescent="0.25">
      <c r="AQ2501" s="37"/>
    </row>
    <row r="2502" spans="43:43" x14ac:dyDescent="0.25">
      <c r="AQ2502" s="37"/>
    </row>
    <row r="2503" spans="43:43" x14ac:dyDescent="0.25">
      <c r="AQ2503" s="37"/>
    </row>
    <row r="2504" spans="43:43" x14ac:dyDescent="0.25">
      <c r="AQ2504" s="37"/>
    </row>
    <row r="2505" spans="43:43" x14ac:dyDescent="0.25">
      <c r="AQ2505" s="37"/>
    </row>
    <row r="2506" spans="43:43" x14ac:dyDescent="0.25">
      <c r="AQ2506" s="37"/>
    </row>
    <row r="2507" spans="43:43" x14ac:dyDescent="0.25">
      <c r="AQ2507" s="37"/>
    </row>
    <row r="2508" spans="43:43" x14ac:dyDescent="0.25">
      <c r="AQ2508" s="37"/>
    </row>
    <row r="2509" spans="43:43" x14ac:dyDescent="0.25">
      <c r="AQ2509" s="37"/>
    </row>
    <row r="2510" spans="43:43" x14ac:dyDescent="0.25">
      <c r="AQ2510" s="37"/>
    </row>
    <row r="2511" spans="43:43" x14ac:dyDescent="0.25">
      <c r="AQ2511" s="37"/>
    </row>
    <row r="2512" spans="43:43" x14ac:dyDescent="0.25">
      <c r="AQ2512" s="37"/>
    </row>
    <row r="2513" spans="43:43" x14ac:dyDescent="0.25">
      <c r="AQ2513" s="37"/>
    </row>
    <row r="2514" spans="43:43" x14ac:dyDescent="0.25">
      <c r="AQ2514" s="37"/>
    </row>
    <row r="2515" spans="43:43" x14ac:dyDescent="0.25">
      <c r="AQ2515" s="37"/>
    </row>
    <row r="2516" spans="43:43" x14ac:dyDescent="0.25">
      <c r="AQ2516" s="37"/>
    </row>
    <row r="2517" spans="43:43" x14ac:dyDescent="0.25">
      <c r="AQ2517" s="37"/>
    </row>
    <row r="2518" spans="43:43" x14ac:dyDescent="0.25">
      <c r="AQ2518" s="37"/>
    </row>
    <row r="2519" spans="43:43" x14ac:dyDescent="0.25">
      <c r="AQ2519" s="37"/>
    </row>
    <row r="2520" spans="43:43" x14ac:dyDescent="0.25">
      <c r="AQ2520" s="37"/>
    </row>
    <row r="2521" spans="43:43" x14ac:dyDescent="0.25">
      <c r="AQ2521" s="37"/>
    </row>
    <row r="2522" spans="43:43" x14ac:dyDescent="0.25">
      <c r="AQ2522" s="37"/>
    </row>
    <row r="2523" spans="43:43" x14ac:dyDescent="0.25">
      <c r="AQ2523" s="37"/>
    </row>
    <row r="2524" spans="43:43" x14ac:dyDescent="0.25">
      <c r="AQ2524" s="37"/>
    </row>
    <row r="2525" spans="43:43" x14ac:dyDescent="0.25">
      <c r="AQ2525" s="37"/>
    </row>
    <row r="2526" spans="43:43" x14ac:dyDescent="0.25">
      <c r="AQ2526" s="37"/>
    </row>
    <row r="2527" spans="43:43" x14ac:dyDescent="0.25">
      <c r="AQ2527" s="37"/>
    </row>
    <row r="2528" spans="43:43" x14ac:dyDescent="0.25">
      <c r="AQ2528" s="37"/>
    </row>
    <row r="2529" spans="43:43" x14ac:dyDescent="0.25">
      <c r="AQ2529" s="37"/>
    </row>
    <row r="2530" spans="43:43" x14ac:dyDescent="0.25">
      <c r="AQ2530" s="37"/>
    </row>
    <row r="2531" spans="43:43" x14ac:dyDescent="0.25">
      <c r="AQ2531" s="37"/>
    </row>
    <row r="2532" spans="43:43" x14ac:dyDescent="0.25">
      <c r="AQ2532" s="37"/>
    </row>
    <row r="2533" spans="43:43" x14ac:dyDescent="0.25">
      <c r="AQ2533" s="37"/>
    </row>
    <row r="2534" spans="43:43" x14ac:dyDescent="0.25">
      <c r="AQ2534" s="37"/>
    </row>
    <row r="2535" spans="43:43" x14ac:dyDescent="0.25">
      <c r="AQ2535" s="37"/>
    </row>
    <row r="2536" spans="43:43" x14ac:dyDescent="0.25">
      <c r="AQ2536" s="37"/>
    </row>
    <row r="2537" spans="43:43" x14ac:dyDescent="0.25">
      <c r="AQ2537" s="37"/>
    </row>
    <row r="2538" spans="43:43" x14ac:dyDescent="0.25">
      <c r="AQ2538" s="37"/>
    </row>
    <row r="2539" spans="43:43" x14ac:dyDescent="0.25">
      <c r="AQ2539" s="37"/>
    </row>
    <row r="2540" spans="43:43" x14ac:dyDescent="0.25">
      <c r="AQ2540" s="37"/>
    </row>
    <row r="2541" spans="43:43" x14ac:dyDescent="0.25">
      <c r="AQ2541" s="37"/>
    </row>
    <row r="2542" spans="43:43" x14ac:dyDescent="0.25">
      <c r="AQ2542" s="37"/>
    </row>
    <row r="2543" spans="43:43" x14ac:dyDescent="0.25">
      <c r="AQ2543" s="37"/>
    </row>
    <row r="2544" spans="43:43" x14ac:dyDescent="0.25">
      <c r="AQ2544" s="37"/>
    </row>
    <row r="2545" spans="43:43" x14ac:dyDescent="0.25">
      <c r="AQ2545" s="37"/>
    </row>
    <row r="2546" spans="43:43" x14ac:dyDescent="0.25">
      <c r="AQ2546" s="37"/>
    </row>
    <row r="2547" spans="43:43" x14ac:dyDescent="0.25">
      <c r="AQ2547" s="37"/>
    </row>
    <row r="2548" spans="43:43" x14ac:dyDescent="0.25">
      <c r="AQ2548" s="37"/>
    </row>
    <row r="2549" spans="43:43" x14ac:dyDescent="0.25">
      <c r="AQ2549" s="37"/>
    </row>
    <row r="2550" spans="43:43" x14ac:dyDescent="0.25">
      <c r="AQ2550" s="37"/>
    </row>
    <row r="2551" spans="43:43" x14ac:dyDescent="0.25">
      <c r="AQ2551" s="37"/>
    </row>
    <row r="2552" spans="43:43" x14ac:dyDescent="0.25">
      <c r="AQ2552" s="37"/>
    </row>
    <row r="2553" spans="43:43" x14ac:dyDescent="0.25">
      <c r="AQ2553" s="37"/>
    </row>
    <row r="2554" spans="43:43" x14ac:dyDescent="0.25">
      <c r="AQ2554" s="37"/>
    </row>
    <row r="2555" spans="43:43" x14ac:dyDescent="0.25">
      <c r="AQ2555" s="37"/>
    </row>
    <row r="2556" spans="43:43" x14ac:dyDescent="0.25">
      <c r="AQ2556" s="37"/>
    </row>
    <row r="2557" spans="43:43" x14ac:dyDescent="0.25">
      <c r="AQ2557" s="37"/>
    </row>
    <row r="2558" spans="43:43" x14ac:dyDescent="0.25">
      <c r="AQ2558" s="37"/>
    </row>
    <row r="2559" spans="43:43" x14ac:dyDescent="0.25">
      <c r="AQ2559" s="37"/>
    </row>
    <row r="2560" spans="43:43" x14ac:dyDescent="0.25">
      <c r="AQ2560" s="37"/>
    </row>
    <row r="2561" spans="43:43" x14ac:dyDescent="0.25">
      <c r="AQ2561" s="37"/>
    </row>
    <row r="2562" spans="43:43" x14ac:dyDescent="0.25">
      <c r="AQ2562" s="37"/>
    </row>
    <row r="2563" spans="43:43" x14ac:dyDescent="0.25">
      <c r="AQ2563" s="37"/>
    </row>
    <row r="2564" spans="43:43" x14ac:dyDescent="0.25">
      <c r="AQ2564" s="37"/>
    </row>
    <row r="2565" spans="43:43" x14ac:dyDescent="0.25">
      <c r="AQ2565" s="37"/>
    </row>
    <row r="2566" spans="43:43" x14ac:dyDescent="0.25">
      <c r="AQ2566" s="37"/>
    </row>
    <row r="2567" spans="43:43" x14ac:dyDescent="0.25">
      <c r="AQ2567" s="37"/>
    </row>
    <row r="2568" spans="43:43" x14ac:dyDescent="0.25">
      <c r="AQ2568" s="37"/>
    </row>
    <row r="2569" spans="43:43" x14ac:dyDescent="0.25">
      <c r="AQ2569" s="37"/>
    </row>
    <row r="2570" spans="43:43" x14ac:dyDescent="0.25">
      <c r="AQ2570" s="37"/>
    </row>
    <row r="2571" spans="43:43" x14ac:dyDescent="0.25">
      <c r="AQ2571" s="37"/>
    </row>
    <row r="2572" spans="43:43" x14ac:dyDescent="0.25">
      <c r="AQ2572" s="37"/>
    </row>
    <row r="2573" spans="43:43" x14ac:dyDescent="0.25">
      <c r="AQ2573" s="37"/>
    </row>
    <row r="2574" spans="43:43" x14ac:dyDescent="0.25">
      <c r="AQ2574" s="37"/>
    </row>
    <row r="2575" spans="43:43" x14ac:dyDescent="0.25">
      <c r="AQ2575" s="37"/>
    </row>
    <row r="2576" spans="43:43" x14ac:dyDescent="0.25">
      <c r="AQ2576" s="37"/>
    </row>
    <row r="2577" spans="43:43" x14ac:dyDescent="0.25">
      <c r="AQ2577" s="37"/>
    </row>
    <row r="2578" spans="43:43" x14ac:dyDescent="0.25">
      <c r="AQ2578" s="37"/>
    </row>
    <row r="2579" spans="43:43" x14ac:dyDescent="0.25">
      <c r="AQ2579" s="37"/>
    </row>
    <row r="2580" spans="43:43" x14ac:dyDescent="0.25">
      <c r="AQ2580" s="37"/>
    </row>
    <row r="2581" spans="43:43" x14ac:dyDescent="0.25">
      <c r="AQ2581" s="37"/>
    </row>
    <row r="2582" spans="43:43" x14ac:dyDescent="0.25">
      <c r="AQ2582" s="37"/>
    </row>
    <row r="2583" spans="43:43" x14ac:dyDescent="0.25">
      <c r="AQ2583" s="37"/>
    </row>
    <row r="2584" spans="43:43" x14ac:dyDescent="0.25">
      <c r="AQ2584" s="37"/>
    </row>
    <row r="2585" spans="43:43" x14ac:dyDescent="0.25">
      <c r="AQ2585" s="37"/>
    </row>
    <row r="2586" spans="43:43" x14ac:dyDescent="0.25">
      <c r="AQ2586" s="37"/>
    </row>
    <row r="2587" spans="43:43" x14ac:dyDescent="0.25">
      <c r="AQ2587" s="37"/>
    </row>
    <row r="2588" spans="43:43" x14ac:dyDescent="0.25">
      <c r="AQ2588" s="37"/>
    </row>
    <row r="2589" spans="43:43" x14ac:dyDescent="0.25">
      <c r="AQ2589" s="37"/>
    </row>
    <row r="2590" spans="43:43" x14ac:dyDescent="0.25">
      <c r="AQ2590" s="37"/>
    </row>
    <row r="2591" spans="43:43" x14ac:dyDescent="0.25">
      <c r="AQ2591" s="37"/>
    </row>
    <row r="2592" spans="43:43" x14ac:dyDescent="0.25">
      <c r="AQ2592" s="37"/>
    </row>
    <row r="2593" spans="43:43" x14ac:dyDescent="0.25">
      <c r="AQ2593" s="37"/>
    </row>
    <row r="2594" spans="43:43" x14ac:dyDescent="0.25">
      <c r="AQ2594" s="37"/>
    </row>
    <row r="2595" spans="43:43" x14ac:dyDescent="0.25">
      <c r="AQ2595" s="37"/>
    </row>
    <row r="2596" spans="43:43" x14ac:dyDescent="0.25">
      <c r="AQ2596" s="37"/>
    </row>
    <row r="2597" spans="43:43" x14ac:dyDescent="0.25">
      <c r="AQ2597" s="37"/>
    </row>
    <row r="2598" spans="43:43" x14ac:dyDescent="0.25">
      <c r="AQ2598" s="37"/>
    </row>
    <row r="2599" spans="43:43" x14ac:dyDescent="0.25">
      <c r="AQ2599" s="37"/>
    </row>
    <row r="2600" spans="43:43" x14ac:dyDescent="0.25">
      <c r="AQ2600" s="37"/>
    </row>
    <row r="2601" spans="43:43" x14ac:dyDescent="0.25">
      <c r="AQ2601" s="37"/>
    </row>
    <row r="2602" spans="43:43" x14ac:dyDescent="0.25">
      <c r="AQ2602" s="37"/>
    </row>
    <row r="2603" spans="43:43" x14ac:dyDescent="0.25">
      <c r="AQ2603" s="37"/>
    </row>
    <row r="2604" spans="43:43" x14ac:dyDescent="0.25">
      <c r="AQ2604" s="37"/>
    </row>
    <row r="2605" spans="43:43" x14ac:dyDescent="0.25">
      <c r="AQ2605" s="37"/>
    </row>
    <row r="2606" spans="43:43" x14ac:dyDescent="0.25">
      <c r="AQ2606" s="37"/>
    </row>
    <row r="2607" spans="43:43" x14ac:dyDescent="0.25">
      <c r="AQ2607" s="37"/>
    </row>
    <row r="2608" spans="43:43" x14ac:dyDescent="0.25">
      <c r="AQ2608" s="37"/>
    </row>
    <row r="2609" spans="43:43" x14ac:dyDescent="0.25">
      <c r="AQ2609" s="37"/>
    </row>
    <row r="2610" spans="43:43" x14ac:dyDescent="0.25">
      <c r="AQ2610" s="37"/>
    </row>
    <row r="2611" spans="43:43" x14ac:dyDescent="0.25">
      <c r="AQ2611" s="37"/>
    </row>
    <row r="2612" spans="43:43" x14ac:dyDescent="0.25">
      <c r="AQ2612" s="37"/>
    </row>
    <row r="2613" spans="43:43" x14ac:dyDescent="0.25">
      <c r="AQ2613" s="37"/>
    </row>
    <row r="2614" spans="43:43" x14ac:dyDescent="0.25">
      <c r="AQ2614" s="37"/>
    </row>
    <row r="2615" spans="43:43" x14ac:dyDescent="0.25">
      <c r="AQ2615" s="37"/>
    </row>
    <row r="2616" spans="43:43" x14ac:dyDescent="0.25">
      <c r="AQ2616" s="37"/>
    </row>
    <row r="2617" spans="43:43" x14ac:dyDescent="0.25">
      <c r="AQ2617" s="37"/>
    </row>
    <row r="2618" spans="43:43" x14ac:dyDescent="0.25">
      <c r="AQ2618" s="37"/>
    </row>
    <row r="2619" spans="43:43" x14ac:dyDescent="0.25">
      <c r="AQ2619" s="37"/>
    </row>
    <row r="2620" spans="43:43" x14ac:dyDescent="0.25">
      <c r="AQ2620" s="37"/>
    </row>
    <row r="2621" spans="43:43" x14ac:dyDescent="0.25">
      <c r="AQ2621" s="37"/>
    </row>
    <row r="2622" spans="43:43" x14ac:dyDescent="0.25">
      <c r="AQ2622" s="37"/>
    </row>
    <row r="2623" spans="43:43" x14ac:dyDescent="0.25">
      <c r="AQ2623" s="37"/>
    </row>
    <row r="2624" spans="43:43" x14ac:dyDescent="0.25">
      <c r="AQ2624" s="37"/>
    </row>
    <row r="2625" spans="43:43" x14ac:dyDescent="0.25">
      <c r="AQ2625" s="37"/>
    </row>
    <row r="2626" spans="43:43" x14ac:dyDescent="0.25">
      <c r="AQ2626" s="37"/>
    </row>
    <row r="2627" spans="43:43" x14ac:dyDescent="0.25">
      <c r="AQ2627" s="37"/>
    </row>
    <row r="2628" spans="43:43" x14ac:dyDescent="0.25">
      <c r="AQ2628" s="37"/>
    </row>
    <row r="2629" spans="43:43" x14ac:dyDescent="0.25">
      <c r="AQ2629" s="37"/>
    </row>
    <row r="2630" spans="43:43" x14ac:dyDescent="0.25">
      <c r="AQ2630" s="37"/>
    </row>
    <row r="2631" spans="43:43" x14ac:dyDescent="0.25">
      <c r="AQ2631" s="37"/>
    </row>
    <row r="2632" spans="43:43" x14ac:dyDescent="0.25">
      <c r="AQ2632" s="37"/>
    </row>
    <row r="2633" spans="43:43" x14ac:dyDescent="0.25">
      <c r="AQ2633" s="37"/>
    </row>
    <row r="2634" spans="43:43" x14ac:dyDescent="0.25">
      <c r="AQ2634" s="37"/>
    </row>
    <row r="2635" spans="43:43" x14ac:dyDescent="0.25">
      <c r="AQ2635" s="37"/>
    </row>
    <row r="2636" spans="43:43" x14ac:dyDescent="0.25">
      <c r="AQ2636" s="37"/>
    </row>
    <row r="2637" spans="43:43" x14ac:dyDescent="0.25">
      <c r="AQ2637" s="37"/>
    </row>
    <row r="2638" spans="43:43" x14ac:dyDescent="0.25">
      <c r="AQ2638" s="37"/>
    </row>
    <row r="2639" spans="43:43" x14ac:dyDescent="0.25">
      <c r="AQ2639" s="37"/>
    </row>
    <row r="2640" spans="43:43" x14ac:dyDescent="0.25">
      <c r="AQ2640" s="37"/>
    </row>
    <row r="2641" spans="43:43" x14ac:dyDescent="0.25">
      <c r="AQ2641" s="37"/>
    </row>
    <row r="2642" spans="43:43" x14ac:dyDescent="0.25">
      <c r="AQ2642" s="37"/>
    </row>
    <row r="2643" spans="43:43" x14ac:dyDescent="0.25">
      <c r="AQ2643" s="37"/>
    </row>
    <row r="2644" spans="43:43" x14ac:dyDescent="0.25">
      <c r="AQ2644" s="37"/>
    </row>
    <row r="2645" spans="43:43" x14ac:dyDescent="0.25">
      <c r="AQ2645" s="37"/>
    </row>
    <row r="2646" spans="43:43" x14ac:dyDescent="0.25">
      <c r="AQ2646" s="37"/>
    </row>
    <row r="2647" spans="43:43" x14ac:dyDescent="0.25">
      <c r="AQ2647" s="37"/>
    </row>
    <row r="2648" spans="43:43" x14ac:dyDescent="0.25">
      <c r="AQ2648" s="37"/>
    </row>
    <row r="2649" spans="43:43" x14ac:dyDescent="0.25">
      <c r="AQ2649" s="37"/>
    </row>
    <row r="2650" spans="43:43" x14ac:dyDescent="0.25">
      <c r="AQ2650" s="37"/>
    </row>
    <row r="2651" spans="43:43" x14ac:dyDescent="0.25">
      <c r="AQ2651" s="37"/>
    </row>
    <row r="2652" spans="43:43" x14ac:dyDescent="0.25">
      <c r="AQ2652" s="37"/>
    </row>
    <row r="2653" spans="43:43" x14ac:dyDescent="0.25">
      <c r="AQ2653" s="37"/>
    </row>
    <row r="2654" spans="43:43" x14ac:dyDescent="0.25">
      <c r="AQ2654" s="37"/>
    </row>
    <row r="2655" spans="43:43" x14ac:dyDescent="0.25">
      <c r="AQ2655" s="37"/>
    </row>
    <row r="2656" spans="43:43" x14ac:dyDescent="0.25">
      <c r="AQ2656" s="37"/>
    </row>
    <row r="2657" spans="43:43" x14ac:dyDescent="0.25">
      <c r="AQ2657" s="37"/>
    </row>
    <row r="2658" spans="43:43" x14ac:dyDescent="0.25">
      <c r="AQ2658" s="37"/>
    </row>
    <row r="2659" spans="43:43" x14ac:dyDescent="0.25">
      <c r="AQ2659" s="37"/>
    </row>
    <row r="2660" spans="43:43" x14ac:dyDescent="0.25">
      <c r="AQ2660" s="37"/>
    </row>
    <row r="2661" spans="43:43" x14ac:dyDescent="0.25">
      <c r="AQ2661" s="37"/>
    </row>
    <row r="2662" spans="43:43" x14ac:dyDescent="0.25">
      <c r="AQ2662" s="37"/>
    </row>
    <row r="2663" spans="43:43" x14ac:dyDescent="0.25">
      <c r="AQ2663" s="37"/>
    </row>
    <row r="2664" spans="43:43" x14ac:dyDescent="0.25">
      <c r="AQ2664" s="37"/>
    </row>
    <row r="2665" spans="43:43" x14ac:dyDescent="0.25">
      <c r="AQ2665" s="37"/>
    </row>
    <row r="2666" spans="43:43" x14ac:dyDescent="0.25">
      <c r="AQ2666" s="37"/>
    </row>
    <row r="2667" spans="43:43" x14ac:dyDescent="0.25">
      <c r="AQ2667" s="37"/>
    </row>
    <row r="2668" spans="43:43" x14ac:dyDescent="0.25">
      <c r="AQ2668" s="37"/>
    </row>
    <row r="2669" spans="43:43" x14ac:dyDescent="0.25">
      <c r="AQ2669" s="37"/>
    </row>
    <row r="2670" spans="43:43" x14ac:dyDescent="0.25">
      <c r="AQ2670" s="37"/>
    </row>
    <row r="2671" spans="43:43" x14ac:dyDescent="0.25">
      <c r="AQ2671" s="37"/>
    </row>
    <row r="2672" spans="43:43" x14ac:dyDescent="0.25">
      <c r="AQ2672" s="37"/>
    </row>
    <row r="2673" spans="43:43" x14ac:dyDescent="0.25">
      <c r="AQ2673" s="37"/>
    </row>
    <row r="2674" spans="43:43" x14ac:dyDescent="0.25">
      <c r="AQ2674" s="37"/>
    </row>
    <row r="2675" spans="43:43" x14ac:dyDescent="0.25">
      <c r="AQ2675" s="37"/>
    </row>
    <row r="2676" spans="43:43" x14ac:dyDescent="0.25">
      <c r="AQ2676" s="37"/>
    </row>
    <row r="2677" spans="43:43" x14ac:dyDescent="0.25">
      <c r="AQ2677" s="37"/>
    </row>
    <row r="2678" spans="43:43" x14ac:dyDescent="0.25">
      <c r="AQ2678" s="37"/>
    </row>
    <row r="2679" spans="43:43" x14ac:dyDescent="0.25">
      <c r="AQ2679" s="37"/>
    </row>
    <row r="2680" spans="43:43" x14ac:dyDescent="0.25">
      <c r="AQ2680" s="37"/>
    </row>
    <row r="2681" spans="43:43" x14ac:dyDescent="0.25">
      <c r="AQ2681" s="37"/>
    </row>
    <row r="2682" spans="43:43" x14ac:dyDescent="0.25">
      <c r="AQ2682" s="37"/>
    </row>
    <row r="2683" spans="43:43" x14ac:dyDescent="0.25">
      <c r="AQ2683" s="37"/>
    </row>
    <row r="2684" spans="43:43" x14ac:dyDescent="0.25">
      <c r="AQ2684" s="37"/>
    </row>
    <row r="2685" spans="43:43" x14ac:dyDescent="0.25">
      <c r="AQ2685" s="37"/>
    </row>
    <row r="2686" spans="43:43" x14ac:dyDescent="0.25">
      <c r="AQ2686" s="37"/>
    </row>
    <row r="2687" spans="43:43" x14ac:dyDescent="0.25">
      <c r="AQ2687" s="37"/>
    </row>
    <row r="2688" spans="43:43" x14ac:dyDescent="0.25">
      <c r="AQ2688" s="37"/>
    </row>
    <row r="2689" spans="43:43" x14ac:dyDescent="0.25">
      <c r="AQ2689" s="37"/>
    </row>
    <row r="2690" spans="43:43" x14ac:dyDescent="0.25">
      <c r="AQ2690" s="37"/>
    </row>
    <row r="2691" spans="43:43" x14ac:dyDescent="0.25">
      <c r="AQ2691" s="37"/>
    </row>
    <row r="2692" spans="43:43" x14ac:dyDescent="0.25">
      <c r="AQ2692" s="37"/>
    </row>
    <row r="2693" spans="43:43" x14ac:dyDescent="0.25">
      <c r="AQ2693" s="37"/>
    </row>
    <row r="2694" spans="43:43" x14ac:dyDescent="0.25">
      <c r="AQ2694" s="37"/>
    </row>
    <row r="2695" spans="43:43" x14ac:dyDescent="0.25">
      <c r="AQ2695" s="37"/>
    </row>
    <row r="2696" spans="43:43" x14ac:dyDescent="0.25">
      <c r="AQ2696" s="37"/>
    </row>
    <row r="2697" spans="43:43" x14ac:dyDescent="0.25">
      <c r="AQ2697" s="37"/>
    </row>
    <row r="2698" spans="43:43" x14ac:dyDescent="0.25">
      <c r="AQ2698" s="37"/>
    </row>
    <row r="2699" spans="43:43" x14ac:dyDescent="0.25">
      <c r="AQ2699" s="37"/>
    </row>
    <row r="2700" spans="43:43" x14ac:dyDescent="0.25">
      <c r="AQ2700" s="37"/>
    </row>
    <row r="2701" spans="43:43" x14ac:dyDescent="0.25">
      <c r="AQ2701" s="37"/>
    </row>
    <row r="2702" spans="43:43" x14ac:dyDescent="0.25">
      <c r="AQ2702" s="37"/>
    </row>
    <row r="2703" spans="43:43" x14ac:dyDescent="0.25">
      <c r="AQ2703" s="37"/>
    </row>
    <row r="2704" spans="43:43" x14ac:dyDescent="0.25">
      <c r="AQ2704" s="37"/>
    </row>
    <row r="2705" spans="43:43" x14ac:dyDescent="0.25">
      <c r="AQ2705" s="37"/>
    </row>
    <row r="2706" spans="43:43" x14ac:dyDescent="0.25">
      <c r="AQ2706" s="37"/>
    </row>
    <row r="2707" spans="43:43" x14ac:dyDescent="0.25">
      <c r="AQ2707" s="37"/>
    </row>
    <row r="2708" spans="43:43" x14ac:dyDescent="0.25">
      <c r="AQ2708" s="37"/>
    </row>
    <row r="2709" spans="43:43" x14ac:dyDescent="0.25">
      <c r="AQ2709" s="37"/>
    </row>
    <row r="2710" spans="43:43" x14ac:dyDescent="0.25">
      <c r="AQ2710" s="37"/>
    </row>
    <row r="2711" spans="43:43" x14ac:dyDescent="0.25">
      <c r="AQ2711" s="37"/>
    </row>
    <row r="2712" spans="43:43" x14ac:dyDescent="0.25">
      <c r="AQ2712" s="37"/>
    </row>
    <row r="2713" spans="43:43" x14ac:dyDescent="0.25">
      <c r="AQ2713" s="37"/>
    </row>
    <row r="2714" spans="43:43" x14ac:dyDescent="0.25">
      <c r="AQ2714" s="37"/>
    </row>
    <row r="2715" spans="43:43" x14ac:dyDescent="0.25">
      <c r="AQ2715" s="37"/>
    </row>
    <row r="2716" spans="43:43" x14ac:dyDescent="0.25">
      <c r="AQ2716" s="37"/>
    </row>
    <row r="2717" spans="43:43" x14ac:dyDescent="0.25">
      <c r="AQ2717" s="37"/>
    </row>
    <row r="2718" spans="43:43" x14ac:dyDescent="0.25">
      <c r="AQ2718" s="37"/>
    </row>
    <row r="2719" spans="43:43" x14ac:dyDescent="0.25">
      <c r="AQ2719" s="37"/>
    </row>
    <row r="2720" spans="43:43" x14ac:dyDescent="0.25">
      <c r="AQ2720" s="37"/>
    </row>
    <row r="2721" spans="43:43" x14ac:dyDescent="0.25">
      <c r="AQ2721" s="37"/>
    </row>
    <row r="2722" spans="43:43" x14ac:dyDescent="0.25">
      <c r="AQ2722" s="37"/>
    </row>
    <row r="2723" spans="43:43" x14ac:dyDescent="0.25">
      <c r="AQ2723" s="37"/>
    </row>
    <row r="2724" spans="43:43" x14ac:dyDescent="0.25">
      <c r="AQ2724" s="37"/>
    </row>
    <row r="2725" spans="43:43" x14ac:dyDescent="0.25">
      <c r="AQ2725" s="37"/>
    </row>
    <row r="2726" spans="43:43" x14ac:dyDescent="0.25">
      <c r="AQ2726" s="37"/>
    </row>
    <row r="2727" spans="43:43" x14ac:dyDescent="0.25">
      <c r="AQ2727" s="37"/>
    </row>
    <row r="2728" spans="43:43" x14ac:dyDescent="0.25">
      <c r="AQ2728" s="37"/>
    </row>
    <row r="2729" spans="43:43" x14ac:dyDescent="0.25">
      <c r="AQ2729" s="37"/>
    </row>
    <row r="2730" spans="43:43" x14ac:dyDescent="0.25">
      <c r="AQ2730" s="37"/>
    </row>
    <row r="2731" spans="43:43" x14ac:dyDescent="0.25">
      <c r="AQ2731" s="37"/>
    </row>
    <row r="2732" spans="43:43" x14ac:dyDescent="0.25">
      <c r="AQ2732" s="37"/>
    </row>
    <row r="2733" spans="43:43" x14ac:dyDescent="0.25">
      <c r="AQ2733" s="37"/>
    </row>
    <row r="2734" spans="43:43" x14ac:dyDescent="0.25">
      <c r="AQ2734" s="37"/>
    </row>
    <row r="2735" spans="43:43" x14ac:dyDescent="0.25">
      <c r="AQ2735" s="37"/>
    </row>
    <row r="2736" spans="43:43" x14ac:dyDescent="0.25">
      <c r="AQ2736" s="37"/>
    </row>
    <row r="2737" spans="43:43" x14ac:dyDescent="0.25">
      <c r="AQ2737" s="37"/>
    </row>
    <row r="2738" spans="43:43" x14ac:dyDescent="0.25">
      <c r="AQ2738" s="37"/>
    </row>
    <row r="2739" spans="43:43" x14ac:dyDescent="0.25">
      <c r="AQ2739" s="37"/>
    </row>
    <row r="2740" spans="43:43" x14ac:dyDescent="0.25">
      <c r="AQ2740" s="37"/>
    </row>
    <row r="2741" spans="43:43" x14ac:dyDescent="0.25">
      <c r="AQ2741" s="37"/>
    </row>
    <row r="2742" spans="43:43" x14ac:dyDescent="0.25">
      <c r="AQ2742" s="37"/>
    </row>
    <row r="2743" spans="43:43" x14ac:dyDescent="0.25">
      <c r="AQ2743" s="37"/>
    </row>
    <row r="2744" spans="43:43" x14ac:dyDescent="0.25">
      <c r="AQ2744" s="37"/>
    </row>
    <row r="2745" spans="43:43" x14ac:dyDescent="0.25">
      <c r="AQ2745" s="37"/>
    </row>
    <row r="2746" spans="43:43" x14ac:dyDescent="0.25">
      <c r="AQ2746" s="37"/>
    </row>
    <row r="2747" spans="43:43" x14ac:dyDescent="0.25">
      <c r="AQ2747" s="37"/>
    </row>
    <row r="2748" spans="43:43" x14ac:dyDescent="0.25">
      <c r="AQ2748" s="37"/>
    </row>
    <row r="2749" spans="43:43" x14ac:dyDescent="0.25">
      <c r="AQ2749" s="37"/>
    </row>
    <row r="2750" spans="43:43" x14ac:dyDescent="0.25">
      <c r="AQ2750" s="37"/>
    </row>
    <row r="2751" spans="43:43" x14ac:dyDescent="0.25">
      <c r="AQ2751" s="37"/>
    </row>
    <row r="2752" spans="43:43" x14ac:dyDescent="0.25">
      <c r="AQ2752" s="37"/>
    </row>
    <row r="2753" spans="43:43" x14ac:dyDescent="0.25">
      <c r="AQ2753" s="37"/>
    </row>
    <row r="2754" spans="43:43" x14ac:dyDescent="0.25">
      <c r="AQ2754" s="37"/>
    </row>
    <row r="2755" spans="43:43" x14ac:dyDescent="0.25">
      <c r="AQ2755" s="37"/>
    </row>
    <row r="2756" spans="43:43" x14ac:dyDescent="0.25">
      <c r="AQ2756" s="37"/>
    </row>
    <row r="2757" spans="43:43" x14ac:dyDescent="0.25">
      <c r="AQ2757" s="37"/>
    </row>
    <row r="2758" spans="43:43" x14ac:dyDescent="0.25">
      <c r="AQ2758" s="37"/>
    </row>
    <row r="2759" spans="43:43" x14ac:dyDescent="0.25">
      <c r="AQ2759" s="37"/>
    </row>
    <row r="2760" spans="43:43" x14ac:dyDescent="0.25">
      <c r="AQ2760" s="37"/>
    </row>
    <row r="2761" spans="43:43" x14ac:dyDescent="0.25">
      <c r="AQ2761" s="37"/>
    </row>
    <row r="2762" spans="43:43" x14ac:dyDescent="0.25">
      <c r="AQ2762" s="37"/>
    </row>
    <row r="2763" spans="43:43" x14ac:dyDescent="0.25">
      <c r="AQ2763" s="37"/>
    </row>
    <row r="2764" spans="43:43" x14ac:dyDescent="0.25">
      <c r="AQ2764" s="37"/>
    </row>
    <row r="2765" spans="43:43" x14ac:dyDescent="0.25">
      <c r="AQ2765" s="37"/>
    </row>
    <row r="2766" spans="43:43" x14ac:dyDescent="0.25">
      <c r="AQ2766" s="37"/>
    </row>
    <row r="2767" spans="43:43" x14ac:dyDescent="0.25">
      <c r="AQ2767" s="37"/>
    </row>
    <row r="2768" spans="43:43" x14ac:dyDescent="0.25">
      <c r="AQ2768" s="37"/>
    </row>
    <row r="2769" spans="43:43" x14ac:dyDescent="0.25">
      <c r="AQ2769" s="37"/>
    </row>
    <row r="2770" spans="43:43" x14ac:dyDescent="0.25">
      <c r="AQ2770" s="37"/>
    </row>
    <row r="2771" spans="43:43" x14ac:dyDescent="0.25">
      <c r="AQ2771" s="37"/>
    </row>
    <row r="2772" spans="43:43" x14ac:dyDescent="0.25">
      <c r="AQ2772" s="37"/>
    </row>
    <row r="2773" spans="43:43" x14ac:dyDescent="0.25">
      <c r="AQ2773" s="37"/>
    </row>
    <row r="2774" spans="43:43" x14ac:dyDescent="0.25">
      <c r="AQ2774" s="37"/>
    </row>
    <row r="2775" spans="43:43" x14ac:dyDescent="0.25">
      <c r="AQ2775" s="37"/>
    </row>
    <row r="2776" spans="43:43" x14ac:dyDescent="0.25">
      <c r="AQ2776" s="37"/>
    </row>
    <row r="2777" spans="43:43" x14ac:dyDescent="0.25">
      <c r="AQ2777" s="37"/>
    </row>
    <row r="2778" spans="43:43" x14ac:dyDescent="0.25">
      <c r="AQ2778" s="37"/>
    </row>
    <row r="2779" spans="43:43" x14ac:dyDescent="0.25">
      <c r="AQ2779" s="37"/>
    </row>
    <row r="2780" spans="43:43" x14ac:dyDescent="0.25">
      <c r="AQ2780" s="37"/>
    </row>
    <row r="2781" spans="43:43" x14ac:dyDescent="0.25">
      <c r="AQ2781" s="37"/>
    </row>
    <row r="2782" spans="43:43" x14ac:dyDescent="0.25">
      <c r="AQ2782" s="37"/>
    </row>
    <row r="2783" spans="43:43" x14ac:dyDescent="0.25">
      <c r="AQ2783" s="37"/>
    </row>
    <row r="2784" spans="43:43" x14ac:dyDescent="0.25">
      <c r="AQ2784" s="37"/>
    </row>
    <row r="2785" spans="43:43" x14ac:dyDescent="0.25">
      <c r="AQ2785" s="37"/>
    </row>
    <row r="2786" spans="43:43" x14ac:dyDescent="0.25">
      <c r="AQ2786" s="37"/>
    </row>
    <row r="2787" spans="43:43" x14ac:dyDescent="0.25">
      <c r="AQ2787" s="37"/>
    </row>
    <row r="2788" spans="43:43" x14ac:dyDescent="0.25">
      <c r="AQ2788" s="37"/>
    </row>
    <row r="2789" spans="43:43" x14ac:dyDescent="0.25">
      <c r="AQ2789" s="37"/>
    </row>
    <row r="2790" spans="43:43" x14ac:dyDescent="0.25">
      <c r="AQ2790" s="37"/>
    </row>
    <row r="2791" spans="43:43" x14ac:dyDescent="0.25">
      <c r="AQ2791" s="37"/>
    </row>
    <row r="2792" spans="43:43" x14ac:dyDescent="0.25">
      <c r="AQ2792" s="37"/>
    </row>
    <row r="2793" spans="43:43" x14ac:dyDescent="0.25">
      <c r="AQ2793" s="37"/>
    </row>
    <row r="2794" spans="43:43" x14ac:dyDescent="0.25">
      <c r="AQ2794" s="37"/>
    </row>
    <row r="2795" spans="43:43" x14ac:dyDescent="0.25">
      <c r="AQ2795" s="37"/>
    </row>
    <row r="2796" spans="43:43" x14ac:dyDescent="0.25">
      <c r="AQ2796" s="37"/>
    </row>
    <row r="2797" spans="43:43" x14ac:dyDescent="0.25">
      <c r="AQ2797" s="37"/>
    </row>
    <row r="2798" spans="43:43" x14ac:dyDescent="0.25">
      <c r="AQ2798" s="37"/>
    </row>
    <row r="2799" spans="43:43" x14ac:dyDescent="0.25">
      <c r="AQ2799" s="37"/>
    </row>
    <row r="2800" spans="43:43" x14ac:dyDescent="0.25">
      <c r="AQ2800" s="37"/>
    </row>
    <row r="2801" spans="43:43" x14ac:dyDescent="0.25">
      <c r="AQ2801" s="37"/>
    </row>
    <row r="2802" spans="43:43" x14ac:dyDescent="0.25">
      <c r="AQ2802" s="37"/>
    </row>
    <row r="2803" spans="43:43" x14ac:dyDescent="0.25">
      <c r="AQ2803" s="37"/>
    </row>
    <row r="2804" spans="43:43" x14ac:dyDescent="0.25">
      <c r="AQ2804" s="37"/>
    </row>
    <row r="2805" spans="43:43" x14ac:dyDescent="0.25">
      <c r="AQ2805" s="37"/>
    </row>
    <row r="2806" spans="43:43" x14ac:dyDescent="0.25">
      <c r="AQ2806" s="37"/>
    </row>
    <row r="2807" spans="43:43" x14ac:dyDescent="0.25">
      <c r="AQ2807" s="37"/>
    </row>
    <row r="2808" spans="43:43" x14ac:dyDescent="0.25">
      <c r="AQ2808" s="37"/>
    </row>
    <row r="2809" spans="43:43" x14ac:dyDescent="0.25">
      <c r="AQ2809" s="37"/>
    </row>
    <row r="2810" spans="43:43" x14ac:dyDescent="0.25">
      <c r="AQ2810" s="37"/>
    </row>
    <row r="2811" spans="43:43" x14ac:dyDescent="0.25">
      <c r="AQ2811" s="37"/>
    </row>
    <row r="2812" spans="43:43" x14ac:dyDescent="0.25">
      <c r="AQ2812" s="37"/>
    </row>
    <row r="2813" spans="43:43" x14ac:dyDescent="0.25">
      <c r="AQ2813" s="37"/>
    </row>
    <row r="2814" spans="43:43" x14ac:dyDescent="0.25">
      <c r="AQ2814" s="37"/>
    </row>
    <row r="2815" spans="43:43" x14ac:dyDescent="0.25">
      <c r="AQ2815" s="37"/>
    </row>
    <row r="2816" spans="43:43" x14ac:dyDescent="0.25">
      <c r="AQ2816" s="37"/>
    </row>
    <row r="2817" spans="43:43" x14ac:dyDescent="0.25">
      <c r="AQ2817" s="37"/>
    </row>
    <row r="2818" spans="43:43" x14ac:dyDescent="0.25">
      <c r="AQ2818" s="37"/>
    </row>
    <row r="2819" spans="43:43" x14ac:dyDescent="0.25">
      <c r="AQ2819" s="37"/>
    </row>
    <row r="2820" spans="43:43" x14ac:dyDescent="0.25">
      <c r="AQ2820" s="37"/>
    </row>
    <row r="2821" spans="43:43" x14ac:dyDescent="0.25">
      <c r="AQ2821" s="37"/>
    </row>
    <row r="2822" spans="43:43" x14ac:dyDescent="0.25">
      <c r="AQ2822" s="37"/>
    </row>
    <row r="2823" spans="43:43" x14ac:dyDescent="0.25">
      <c r="AQ2823" s="37"/>
    </row>
    <row r="2824" spans="43:43" x14ac:dyDescent="0.25">
      <c r="AQ2824" s="37"/>
    </row>
    <row r="2825" spans="43:43" x14ac:dyDescent="0.25">
      <c r="AQ2825" s="37"/>
    </row>
    <row r="2826" spans="43:43" x14ac:dyDescent="0.25">
      <c r="AQ2826" s="37"/>
    </row>
    <row r="2827" spans="43:43" x14ac:dyDescent="0.25">
      <c r="AQ2827" s="37"/>
    </row>
    <row r="2828" spans="43:43" x14ac:dyDescent="0.25">
      <c r="AQ2828" s="37"/>
    </row>
    <row r="2829" spans="43:43" x14ac:dyDescent="0.25">
      <c r="AQ2829" s="37"/>
    </row>
    <row r="2830" spans="43:43" x14ac:dyDescent="0.25">
      <c r="AQ2830" s="37"/>
    </row>
    <row r="2831" spans="43:43" x14ac:dyDescent="0.25">
      <c r="AQ2831" s="37"/>
    </row>
    <row r="2832" spans="43:43" x14ac:dyDescent="0.25">
      <c r="AQ2832" s="37"/>
    </row>
    <row r="2833" spans="43:43" x14ac:dyDescent="0.25">
      <c r="AQ2833" s="37"/>
    </row>
    <row r="2834" spans="43:43" x14ac:dyDescent="0.25">
      <c r="AQ2834" s="37"/>
    </row>
    <row r="2835" spans="43:43" x14ac:dyDescent="0.25">
      <c r="AQ2835" s="37"/>
    </row>
    <row r="2836" spans="43:43" x14ac:dyDescent="0.25">
      <c r="AQ2836" s="37"/>
    </row>
    <row r="2837" spans="43:43" x14ac:dyDescent="0.25">
      <c r="AQ2837" s="37"/>
    </row>
    <row r="2838" spans="43:43" x14ac:dyDescent="0.25">
      <c r="AQ2838" s="37"/>
    </row>
    <row r="2839" spans="43:43" x14ac:dyDescent="0.25">
      <c r="AQ2839" s="37"/>
    </row>
    <row r="2840" spans="43:43" x14ac:dyDescent="0.25">
      <c r="AQ2840" s="37"/>
    </row>
    <row r="2841" spans="43:43" x14ac:dyDescent="0.25">
      <c r="AQ2841" s="37"/>
    </row>
    <row r="2842" spans="43:43" x14ac:dyDescent="0.25">
      <c r="AQ2842" s="37"/>
    </row>
    <row r="2843" spans="43:43" x14ac:dyDescent="0.25">
      <c r="AQ2843" s="37"/>
    </row>
    <row r="2844" spans="43:43" x14ac:dyDescent="0.25">
      <c r="AQ2844" s="37"/>
    </row>
    <row r="2845" spans="43:43" x14ac:dyDescent="0.25">
      <c r="AQ2845" s="37"/>
    </row>
    <row r="2846" spans="43:43" x14ac:dyDescent="0.25">
      <c r="AQ2846" s="37"/>
    </row>
    <row r="2847" spans="43:43" x14ac:dyDescent="0.25">
      <c r="AQ2847" s="37"/>
    </row>
    <row r="2848" spans="43:43" x14ac:dyDescent="0.25">
      <c r="AQ2848" s="37"/>
    </row>
    <row r="2849" spans="43:43" x14ac:dyDescent="0.25">
      <c r="AQ2849" s="37"/>
    </row>
    <row r="2850" spans="43:43" x14ac:dyDescent="0.25">
      <c r="AQ2850" s="37"/>
    </row>
    <row r="2851" spans="43:43" x14ac:dyDescent="0.25">
      <c r="AQ2851" s="37"/>
    </row>
    <row r="2852" spans="43:43" x14ac:dyDescent="0.25">
      <c r="AQ2852" s="37"/>
    </row>
    <row r="2853" spans="43:43" x14ac:dyDescent="0.25">
      <c r="AQ2853" s="37"/>
    </row>
    <row r="2854" spans="43:43" x14ac:dyDescent="0.25">
      <c r="AQ2854" s="37"/>
    </row>
    <row r="2855" spans="43:43" x14ac:dyDescent="0.25">
      <c r="AQ2855" s="37"/>
    </row>
    <row r="2856" spans="43:43" x14ac:dyDescent="0.25">
      <c r="AQ2856" s="37"/>
    </row>
    <row r="2857" spans="43:43" x14ac:dyDescent="0.25">
      <c r="AQ2857" s="37"/>
    </row>
    <row r="2858" spans="43:43" x14ac:dyDescent="0.25">
      <c r="AQ2858" s="37"/>
    </row>
    <row r="2859" spans="43:43" x14ac:dyDescent="0.25">
      <c r="AQ2859" s="37"/>
    </row>
    <row r="2860" spans="43:43" x14ac:dyDescent="0.25">
      <c r="AQ2860" s="37"/>
    </row>
    <row r="2861" spans="43:43" x14ac:dyDescent="0.25">
      <c r="AQ2861" s="37"/>
    </row>
    <row r="2862" spans="43:43" x14ac:dyDescent="0.25">
      <c r="AQ2862" s="37"/>
    </row>
    <row r="2863" spans="43:43" x14ac:dyDescent="0.25">
      <c r="AQ2863" s="37"/>
    </row>
    <row r="2864" spans="43:43" x14ac:dyDescent="0.25">
      <c r="AQ2864" s="37"/>
    </row>
    <row r="2865" spans="43:43" x14ac:dyDescent="0.25">
      <c r="AQ2865" s="37"/>
    </row>
    <row r="2866" spans="43:43" x14ac:dyDescent="0.25">
      <c r="AQ2866" s="37"/>
    </row>
    <row r="2867" spans="43:43" x14ac:dyDescent="0.25">
      <c r="AQ2867" s="37"/>
    </row>
    <row r="2868" spans="43:43" x14ac:dyDescent="0.25">
      <c r="AQ2868" s="37"/>
    </row>
    <row r="2869" spans="43:43" x14ac:dyDescent="0.25">
      <c r="AQ2869" s="37"/>
    </row>
    <row r="2870" spans="43:43" x14ac:dyDescent="0.25">
      <c r="AQ2870" s="37"/>
    </row>
    <row r="2871" spans="43:43" x14ac:dyDescent="0.25">
      <c r="AQ2871" s="37"/>
    </row>
    <row r="2872" spans="43:43" x14ac:dyDescent="0.25">
      <c r="AQ2872" s="37"/>
    </row>
    <row r="2873" spans="43:43" x14ac:dyDescent="0.25">
      <c r="AQ2873" s="37"/>
    </row>
    <row r="2874" spans="43:43" x14ac:dyDescent="0.25">
      <c r="AQ2874" s="37"/>
    </row>
    <row r="2875" spans="43:43" x14ac:dyDescent="0.25">
      <c r="AQ2875" s="37"/>
    </row>
    <row r="2876" spans="43:43" x14ac:dyDescent="0.25">
      <c r="AQ2876" s="37"/>
    </row>
    <row r="2877" spans="43:43" x14ac:dyDescent="0.25">
      <c r="AQ2877" s="37"/>
    </row>
    <row r="2878" spans="43:43" x14ac:dyDescent="0.25">
      <c r="AQ2878" s="37"/>
    </row>
    <row r="2879" spans="43:43" x14ac:dyDescent="0.25">
      <c r="AQ2879" s="37"/>
    </row>
    <row r="2880" spans="43:43" x14ac:dyDescent="0.25">
      <c r="AQ2880" s="37"/>
    </row>
    <row r="2881" spans="43:43" x14ac:dyDescent="0.25">
      <c r="AQ2881" s="37"/>
    </row>
    <row r="2882" spans="43:43" x14ac:dyDescent="0.25">
      <c r="AQ2882" s="37"/>
    </row>
    <row r="2883" spans="43:43" x14ac:dyDescent="0.25">
      <c r="AQ2883" s="37"/>
    </row>
    <row r="2884" spans="43:43" x14ac:dyDescent="0.25">
      <c r="AQ2884" s="37"/>
    </row>
    <row r="2885" spans="43:43" x14ac:dyDescent="0.25">
      <c r="AQ2885" s="37"/>
    </row>
    <row r="2886" spans="43:43" x14ac:dyDescent="0.25">
      <c r="AQ2886" s="37"/>
    </row>
    <row r="2887" spans="43:43" x14ac:dyDescent="0.25">
      <c r="AQ2887" s="37"/>
    </row>
    <row r="2888" spans="43:43" x14ac:dyDescent="0.25">
      <c r="AQ2888" s="37"/>
    </row>
    <row r="2889" spans="43:43" x14ac:dyDescent="0.25">
      <c r="AQ2889" s="37"/>
    </row>
    <row r="2890" spans="43:43" x14ac:dyDescent="0.25">
      <c r="AQ2890" s="37"/>
    </row>
    <row r="2891" spans="43:43" x14ac:dyDescent="0.25">
      <c r="AQ2891" s="37"/>
    </row>
    <row r="2892" spans="43:43" x14ac:dyDescent="0.25">
      <c r="AQ2892" s="37"/>
    </row>
    <row r="2893" spans="43:43" x14ac:dyDescent="0.25">
      <c r="AQ2893" s="37"/>
    </row>
    <row r="2894" spans="43:43" x14ac:dyDescent="0.25">
      <c r="AQ2894" s="37"/>
    </row>
    <row r="2895" spans="43:43" x14ac:dyDescent="0.25">
      <c r="AQ2895" s="37"/>
    </row>
    <row r="2896" spans="43:43" x14ac:dyDescent="0.25">
      <c r="AQ2896" s="37"/>
    </row>
    <row r="2897" spans="43:43" x14ac:dyDescent="0.25">
      <c r="AQ2897" s="37"/>
    </row>
    <row r="2898" spans="43:43" x14ac:dyDescent="0.25">
      <c r="AQ2898" s="37"/>
    </row>
    <row r="2899" spans="43:43" x14ac:dyDescent="0.25">
      <c r="AQ2899" s="37"/>
    </row>
    <row r="2900" spans="43:43" x14ac:dyDescent="0.25">
      <c r="AQ2900" s="37"/>
    </row>
    <row r="2901" spans="43:43" x14ac:dyDescent="0.25">
      <c r="AQ2901" s="37"/>
    </row>
    <row r="2902" spans="43:43" x14ac:dyDescent="0.25">
      <c r="AQ2902" s="37"/>
    </row>
    <row r="2903" spans="43:43" x14ac:dyDescent="0.25">
      <c r="AQ2903" s="37"/>
    </row>
    <row r="2904" spans="43:43" x14ac:dyDescent="0.25">
      <c r="AQ2904" s="37"/>
    </row>
    <row r="2905" spans="43:43" x14ac:dyDescent="0.25">
      <c r="AQ2905" s="37"/>
    </row>
    <row r="2906" spans="43:43" x14ac:dyDescent="0.25">
      <c r="AQ2906" s="37"/>
    </row>
    <row r="2907" spans="43:43" x14ac:dyDescent="0.25">
      <c r="AQ2907" s="37"/>
    </row>
    <row r="2908" spans="43:43" x14ac:dyDescent="0.25">
      <c r="AQ2908" s="37"/>
    </row>
    <row r="2909" spans="43:43" x14ac:dyDescent="0.25">
      <c r="AQ2909" s="37"/>
    </row>
    <row r="2910" spans="43:43" x14ac:dyDescent="0.25">
      <c r="AQ2910" s="37"/>
    </row>
    <row r="2911" spans="43:43" x14ac:dyDescent="0.25">
      <c r="AQ2911" s="37"/>
    </row>
    <row r="2912" spans="43:43" x14ac:dyDescent="0.25">
      <c r="AQ2912" s="37"/>
    </row>
    <row r="2913" spans="43:43" x14ac:dyDescent="0.25">
      <c r="AQ2913" s="37"/>
    </row>
    <row r="2914" spans="43:43" x14ac:dyDescent="0.25">
      <c r="AQ2914" s="37"/>
    </row>
    <row r="2915" spans="43:43" x14ac:dyDescent="0.25">
      <c r="AQ2915" s="37"/>
    </row>
    <row r="2916" spans="43:43" x14ac:dyDescent="0.25">
      <c r="AQ2916" s="37"/>
    </row>
    <row r="2917" spans="43:43" x14ac:dyDescent="0.25">
      <c r="AQ2917" s="37"/>
    </row>
    <row r="2918" spans="43:43" x14ac:dyDescent="0.25">
      <c r="AQ2918" s="37"/>
    </row>
    <row r="2919" spans="43:43" x14ac:dyDescent="0.25">
      <c r="AQ2919" s="37"/>
    </row>
    <row r="2920" spans="43:43" x14ac:dyDescent="0.25">
      <c r="AQ2920" s="37"/>
    </row>
    <row r="2921" spans="43:43" x14ac:dyDescent="0.25">
      <c r="AQ2921" s="37"/>
    </row>
    <row r="2922" spans="43:43" x14ac:dyDescent="0.25">
      <c r="AQ2922" s="37"/>
    </row>
    <row r="2923" spans="43:43" x14ac:dyDescent="0.25">
      <c r="AQ2923" s="37"/>
    </row>
    <row r="2924" spans="43:43" x14ac:dyDescent="0.25">
      <c r="AQ2924" s="37"/>
    </row>
    <row r="2925" spans="43:43" x14ac:dyDescent="0.25">
      <c r="AQ2925" s="37"/>
    </row>
    <row r="2926" spans="43:43" x14ac:dyDescent="0.25">
      <c r="AQ2926" s="37"/>
    </row>
    <row r="2927" spans="43:43" x14ac:dyDescent="0.25">
      <c r="AQ2927" s="37"/>
    </row>
    <row r="2928" spans="43:43" x14ac:dyDescent="0.25">
      <c r="AQ2928" s="37"/>
    </row>
    <row r="2929" spans="43:43" x14ac:dyDescent="0.25">
      <c r="AQ2929" s="37"/>
    </row>
    <row r="2930" spans="43:43" x14ac:dyDescent="0.25">
      <c r="AQ2930" s="37"/>
    </row>
    <row r="2931" spans="43:43" x14ac:dyDescent="0.25">
      <c r="AQ2931" s="37"/>
    </row>
    <row r="2932" spans="43:43" x14ac:dyDescent="0.25">
      <c r="AQ2932" s="37"/>
    </row>
    <row r="2933" spans="43:43" x14ac:dyDescent="0.25">
      <c r="AQ2933" s="37"/>
    </row>
    <row r="2934" spans="43:43" x14ac:dyDescent="0.25">
      <c r="AQ2934" s="37"/>
    </row>
    <row r="2935" spans="43:43" x14ac:dyDescent="0.25">
      <c r="AQ2935" s="37"/>
    </row>
    <row r="2936" spans="43:43" x14ac:dyDescent="0.25">
      <c r="AQ2936" s="37"/>
    </row>
    <row r="2937" spans="43:43" x14ac:dyDescent="0.25">
      <c r="AQ2937" s="37"/>
    </row>
    <row r="2938" spans="43:43" x14ac:dyDescent="0.25">
      <c r="AQ2938" s="37"/>
    </row>
    <row r="2939" spans="43:43" x14ac:dyDescent="0.25">
      <c r="AQ2939" s="37"/>
    </row>
    <row r="2940" spans="43:43" x14ac:dyDescent="0.25">
      <c r="AQ2940" s="37"/>
    </row>
    <row r="2941" spans="43:43" x14ac:dyDescent="0.25">
      <c r="AQ2941" s="37"/>
    </row>
    <row r="2942" spans="43:43" x14ac:dyDescent="0.25">
      <c r="AQ2942" s="37"/>
    </row>
    <row r="2943" spans="43:43" x14ac:dyDescent="0.25">
      <c r="AQ2943" s="37"/>
    </row>
    <row r="2944" spans="43:43" x14ac:dyDescent="0.25">
      <c r="AQ2944" s="37"/>
    </row>
    <row r="2945" spans="43:43" x14ac:dyDescent="0.25">
      <c r="AQ2945" s="37"/>
    </row>
    <row r="2946" spans="43:43" x14ac:dyDescent="0.25">
      <c r="AQ2946" s="37"/>
    </row>
    <row r="2947" spans="43:43" x14ac:dyDescent="0.25">
      <c r="AQ2947" s="37"/>
    </row>
    <row r="2948" spans="43:43" x14ac:dyDescent="0.25">
      <c r="AQ2948" s="37"/>
    </row>
    <row r="2949" spans="43:43" x14ac:dyDescent="0.25">
      <c r="AQ2949" s="37"/>
    </row>
    <row r="2950" spans="43:43" x14ac:dyDescent="0.25">
      <c r="AQ2950" s="37"/>
    </row>
    <row r="2951" spans="43:43" x14ac:dyDescent="0.25">
      <c r="AQ2951" s="37"/>
    </row>
    <row r="2952" spans="43:43" x14ac:dyDescent="0.25">
      <c r="AQ2952" s="37"/>
    </row>
    <row r="2953" spans="43:43" x14ac:dyDescent="0.25">
      <c r="AQ2953" s="37"/>
    </row>
    <row r="2954" spans="43:43" x14ac:dyDescent="0.25">
      <c r="AQ2954" s="37"/>
    </row>
    <row r="2955" spans="43:43" x14ac:dyDescent="0.25">
      <c r="AQ2955" s="37"/>
    </row>
    <row r="2956" spans="43:43" x14ac:dyDescent="0.25">
      <c r="AQ2956" s="37"/>
    </row>
    <row r="2957" spans="43:43" x14ac:dyDescent="0.25">
      <c r="AQ2957" s="37"/>
    </row>
    <row r="2958" spans="43:43" x14ac:dyDescent="0.25">
      <c r="AQ2958" s="37"/>
    </row>
    <row r="2959" spans="43:43" x14ac:dyDescent="0.25">
      <c r="AQ2959" s="37"/>
    </row>
    <row r="2960" spans="43:43" x14ac:dyDescent="0.25">
      <c r="AQ2960" s="37"/>
    </row>
    <row r="2961" spans="43:43" x14ac:dyDescent="0.25">
      <c r="AQ2961" s="37"/>
    </row>
    <row r="2962" spans="43:43" x14ac:dyDescent="0.25">
      <c r="AQ2962" s="37"/>
    </row>
    <row r="2963" spans="43:43" x14ac:dyDescent="0.25">
      <c r="AQ2963" s="37"/>
    </row>
    <row r="2964" spans="43:43" x14ac:dyDescent="0.25">
      <c r="AQ2964" s="37"/>
    </row>
    <row r="2965" spans="43:43" x14ac:dyDescent="0.25">
      <c r="AQ2965" s="37"/>
    </row>
    <row r="2966" spans="43:43" x14ac:dyDescent="0.25">
      <c r="AQ2966" s="37"/>
    </row>
    <row r="2967" spans="43:43" x14ac:dyDescent="0.25">
      <c r="AQ2967" s="37"/>
    </row>
    <row r="2968" spans="43:43" x14ac:dyDescent="0.25">
      <c r="AQ2968" s="37"/>
    </row>
    <row r="2969" spans="43:43" x14ac:dyDescent="0.25">
      <c r="AQ2969" s="37"/>
    </row>
    <row r="2970" spans="43:43" x14ac:dyDescent="0.25">
      <c r="AQ2970" s="37"/>
    </row>
    <row r="2971" spans="43:43" x14ac:dyDescent="0.25">
      <c r="AQ2971" s="37"/>
    </row>
    <row r="2972" spans="43:43" x14ac:dyDescent="0.25">
      <c r="AQ2972" s="37"/>
    </row>
    <row r="2973" spans="43:43" x14ac:dyDescent="0.25">
      <c r="AQ2973" s="37"/>
    </row>
    <row r="2974" spans="43:43" x14ac:dyDescent="0.25">
      <c r="AQ2974" s="37"/>
    </row>
    <row r="2975" spans="43:43" x14ac:dyDescent="0.25">
      <c r="AQ2975" s="37"/>
    </row>
    <row r="2976" spans="43:43" x14ac:dyDescent="0.25">
      <c r="AQ2976" s="37"/>
    </row>
    <row r="2977" spans="43:43" x14ac:dyDescent="0.25">
      <c r="AQ2977" s="37"/>
    </row>
    <row r="2978" spans="43:43" x14ac:dyDescent="0.25">
      <c r="AQ2978" s="37"/>
    </row>
    <row r="2979" spans="43:43" x14ac:dyDescent="0.25">
      <c r="AQ2979" s="37"/>
    </row>
    <row r="2980" spans="43:43" x14ac:dyDescent="0.25">
      <c r="AQ2980" s="37"/>
    </row>
    <row r="2981" spans="43:43" x14ac:dyDescent="0.25">
      <c r="AQ2981" s="37"/>
    </row>
    <row r="2982" spans="43:43" x14ac:dyDescent="0.25">
      <c r="AQ2982" s="37"/>
    </row>
    <row r="2983" spans="43:43" x14ac:dyDescent="0.25">
      <c r="AQ2983" s="37"/>
    </row>
    <row r="2984" spans="43:43" x14ac:dyDescent="0.25">
      <c r="AQ2984" s="37"/>
    </row>
    <row r="2985" spans="43:43" x14ac:dyDescent="0.25">
      <c r="AQ2985" s="37"/>
    </row>
    <row r="2986" spans="43:43" x14ac:dyDescent="0.25">
      <c r="AQ2986" s="37"/>
    </row>
    <row r="2987" spans="43:43" x14ac:dyDescent="0.25">
      <c r="AQ2987" s="37"/>
    </row>
    <row r="2988" spans="43:43" x14ac:dyDescent="0.25">
      <c r="AQ2988" s="37"/>
    </row>
    <row r="2989" spans="43:43" x14ac:dyDescent="0.25">
      <c r="AQ2989" s="37"/>
    </row>
    <row r="2990" spans="43:43" x14ac:dyDescent="0.25">
      <c r="AQ2990" s="37"/>
    </row>
    <row r="2991" spans="43:43" x14ac:dyDescent="0.25">
      <c r="AQ2991" s="37"/>
    </row>
    <row r="2992" spans="43:43" x14ac:dyDescent="0.25">
      <c r="AQ2992" s="37"/>
    </row>
    <row r="2993" spans="43:43" x14ac:dyDescent="0.25">
      <c r="AQ2993" s="37"/>
    </row>
    <row r="2994" spans="43:43" x14ac:dyDescent="0.25">
      <c r="AQ2994" s="37"/>
    </row>
    <row r="2995" spans="43:43" x14ac:dyDescent="0.25">
      <c r="AQ2995" s="37"/>
    </row>
    <row r="2996" spans="43:43" x14ac:dyDescent="0.25">
      <c r="AQ2996" s="37"/>
    </row>
    <row r="2997" spans="43:43" x14ac:dyDescent="0.25">
      <c r="AQ2997" s="37"/>
    </row>
    <row r="2998" spans="43:43" x14ac:dyDescent="0.25">
      <c r="AQ2998" s="37"/>
    </row>
    <row r="2999" spans="43:43" x14ac:dyDescent="0.25">
      <c r="AQ2999" s="37"/>
    </row>
    <row r="3000" spans="43:43" x14ac:dyDescent="0.25">
      <c r="AQ3000" s="37"/>
    </row>
    <row r="3001" spans="43:43" x14ac:dyDescent="0.25">
      <c r="AQ3001" s="37"/>
    </row>
    <row r="3002" spans="43:43" x14ac:dyDescent="0.25">
      <c r="AQ3002" s="37"/>
    </row>
    <row r="3003" spans="43:43" x14ac:dyDescent="0.25">
      <c r="AQ3003" s="37"/>
    </row>
    <row r="3004" spans="43:43" x14ac:dyDescent="0.25">
      <c r="AQ3004" s="37"/>
    </row>
    <row r="3005" spans="43:43" x14ac:dyDescent="0.25">
      <c r="AQ3005" s="37"/>
    </row>
    <row r="3006" spans="43:43" x14ac:dyDescent="0.25">
      <c r="AQ3006" s="37"/>
    </row>
    <row r="3007" spans="43:43" x14ac:dyDescent="0.25">
      <c r="AQ3007" s="37"/>
    </row>
    <row r="3008" spans="43:43" x14ac:dyDescent="0.25">
      <c r="AQ3008" s="37"/>
    </row>
    <row r="3009" spans="43:43" x14ac:dyDescent="0.25">
      <c r="AQ3009" s="37"/>
    </row>
    <row r="3010" spans="43:43" x14ac:dyDescent="0.25">
      <c r="AQ3010" s="37"/>
    </row>
    <row r="3011" spans="43:43" x14ac:dyDescent="0.25">
      <c r="AQ3011" s="37"/>
    </row>
    <row r="3012" spans="43:43" x14ac:dyDescent="0.25">
      <c r="AQ3012" s="37"/>
    </row>
    <row r="3013" spans="43:43" x14ac:dyDescent="0.25">
      <c r="AQ3013" s="37"/>
    </row>
    <row r="3014" spans="43:43" x14ac:dyDescent="0.25">
      <c r="AQ3014" s="37"/>
    </row>
    <row r="3015" spans="43:43" x14ac:dyDescent="0.25">
      <c r="AQ3015" s="37"/>
    </row>
    <row r="3016" spans="43:43" x14ac:dyDescent="0.25">
      <c r="AQ3016" s="37"/>
    </row>
    <row r="3017" spans="43:43" x14ac:dyDescent="0.25">
      <c r="AQ3017" s="37"/>
    </row>
    <row r="3018" spans="43:43" x14ac:dyDescent="0.25">
      <c r="AQ3018" s="37"/>
    </row>
    <row r="3019" spans="43:43" x14ac:dyDescent="0.25">
      <c r="AQ3019" s="37"/>
    </row>
    <row r="3020" spans="43:43" x14ac:dyDescent="0.25">
      <c r="AQ3020" s="37"/>
    </row>
    <row r="3021" spans="43:43" x14ac:dyDescent="0.25">
      <c r="AQ3021" s="37"/>
    </row>
    <row r="3022" spans="43:43" x14ac:dyDescent="0.25">
      <c r="AQ3022" s="37"/>
    </row>
    <row r="3023" spans="43:43" x14ac:dyDescent="0.25">
      <c r="AQ3023" s="37"/>
    </row>
    <row r="3024" spans="43:43" x14ac:dyDescent="0.25">
      <c r="AQ3024" s="37"/>
    </row>
    <row r="3025" spans="43:43" x14ac:dyDescent="0.25">
      <c r="AQ3025" s="37"/>
    </row>
    <row r="3026" spans="43:43" x14ac:dyDescent="0.25">
      <c r="AQ3026" s="37"/>
    </row>
    <row r="3027" spans="43:43" x14ac:dyDescent="0.25">
      <c r="AQ3027" s="37"/>
    </row>
    <row r="3028" spans="43:43" x14ac:dyDescent="0.25">
      <c r="AQ3028" s="37"/>
    </row>
    <row r="3029" spans="43:43" x14ac:dyDescent="0.25">
      <c r="AQ3029" s="37"/>
    </row>
    <row r="3030" spans="43:43" x14ac:dyDescent="0.25">
      <c r="AQ3030" s="37"/>
    </row>
    <row r="3031" spans="43:43" x14ac:dyDescent="0.25">
      <c r="AQ3031" s="37"/>
    </row>
    <row r="3032" spans="43:43" x14ac:dyDescent="0.25">
      <c r="AQ3032" s="37"/>
    </row>
    <row r="3033" spans="43:43" x14ac:dyDescent="0.25">
      <c r="AQ3033" s="37"/>
    </row>
    <row r="3034" spans="43:43" x14ac:dyDescent="0.25">
      <c r="AQ3034" s="37"/>
    </row>
    <row r="3035" spans="43:43" x14ac:dyDescent="0.25">
      <c r="AQ3035" s="37"/>
    </row>
    <row r="3036" spans="43:43" x14ac:dyDescent="0.25">
      <c r="AQ3036" s="37"/>
    </row>
    <row r="3037" spans="43:43" x14ac:dyDescent="0.25">
      <c r="AQ3037" s="37"/>
    </row>
    <row r="3038" spans="43:43" x14ac:dyDescent="0.25">
      <c r="AQ3038" s="37"/>
    </row>
    <row r="3039" spans="43:43" x14ac:dyDescent="0.25">
      <c r="AQ3039" s="37"/>
    </row>
    <row r="3040" spans="43:43" x14ac:dyDescent="0.25">
      <c r="AQ3040" s="37"/>
    </row>
    <row r="3041" spans="43:43" x14ac:dyDescent="0.25">
      <c r="AQ3041" s="37"/>
    </row>
    <row r="3042" spans="43:43" x14ac:dyDescent="0.25">
      <c r="AQ3042" s="37"/>
    </row>
    <row r="3043" spans="43:43" x14ac:dyDescent="0.25">
      <c r="AQ3043" s="37"/>
    </row>
    <row r="3044" spans="43:43" x14ac:dyDescent="0.25">
      <c r="AQ3044" s="37"/>
    </row>
    <row r="3045" spans="43:43" x14ac:dyDescent="0.25">
      <c r="AQ3045" s="37"/>
    </row>
    <row r="3046" spans="43:43" x14ac:dyDescent="0.25">
      <c r="AQ3046" s="37"/>
    </row>
    <row r="3047" spans="43:43" x14ac:dyDescent="0.25">
      <c r="AQ3047" s="37"/>
    </row>
    <row r="3048" spans="43:43" x14ac:dyDescent="0.25">
      <c r="AQ3048" s="37"/>
    </row>
    <row r="3049" spans="43:43" x14ac:dyDescent="0.25">
      <c r="AQ3049" s="37"/>
    </row>
    <row r="3050" spans="43:43" x14ac:dyDescent="0.25">
      <c r="AQ3050" s="37"/>
    </row>
    <row r="3051" spans="43:43" x14ac:dyDescent="0.25">
      <c r="AQ3051" s="37"/>
    </row>
    <row r="3052" spans="43:43" x14ac:dyDescent="0.25">
      <c r="AQ3052" s="37"/>
    </row>
    <row r="3053" spans="43:43" x14ac:dyDescent="0.25">
      <c r="AQ3053" s="37"/>
    </row>
    <row r="3054" spans="43:43" x14ac:dyDescent="0.25">
      <c r="AQ3054" s="37"/>
    </row>
    <row r="3055" spans="43:43" x14ac:dyDescent="0.25">
      <c r="AQ3055" s="37"/>
    </row>
    <row r="3056" spans="43:43" x14ac:dyDescent="0.25">
      <c r="AQ3056" s="37"/>
    </row>
    <row r="3057" spans="43:43" x14ac:dyDescent="0.25">
      <c r="AQ3057" s="37"/>
    </row>
    <row r="3058" spans="43:43" x14ac:dyDescent="0.25">
      <c r="AQ3058" s="37"/>
    </row>
    <row r="3059" spans="43:43" x14ac:dyDescent="0.25">
      <c r="AQ3059" s="37"/>
    </row>
    <row r="3060" spans="43:43" x14ac:dyDescent="0.25">
      <c r="AQ3060" s="37"/>
    </row>
    <row r="3061" spans="43:43" x14ac:dyDescent="0.25">
      <c r="AQ3061" s="37"/>
    </row>
    <row r="3062" spans="43:43" x14ac:dyDescent="0.25">
      <c r="AQ3062" s="37"/>
    </row>
    <row r="3063" spans="43:43" x14ac:dyDescent="0.25">
      <c r="AQ3063" s="37"/>
    </row>
    <row r="3064" spans="43:43" x14ac:dyDescent="0.25">
      <c r="AQ3064" s="37"/>
    </row>
    <row r="3065" spans="43:43" x14ac:dyDescent="0.25">
      <c r="AQ3065" s="37"/>
    </row>
    <row r="3066" spans="43:43" x14ac:dyDescent="0.25">
      <c r="AQ3066" s="37"/>
    </row>
    <row r="3067" spans="43:43" x14ac:dyDescent="0.25">
      <c r="AQ3067" s="37"/>
    </row>
    <row r="3068" spans="43:43" x14ac:dyDescent="0.25">
      <c r="AQ3068" s="37"/>
    </row>
    <row r="3069" spans="43:43" x14ac:dyDescent="0.25">
      <c r="AQ3069" s="37"/>
    </row>
    <row r="3070" spans="43:43" x14ac:dyDescent="0.25">
      <c r="AQ3070" s="37"/>
    </row>
    <row r="3071" spans="43:43" x14ac:dyDescent="0.25">
      <c r="AQ3071" s="37"/>
    </row>
    <row r="3072" spans="43:43" x14ac:dyDescent="0.25">
      <c r="AQ3072" s="37"/>
    </row>
    <row r="3073" spans="43:43" x14ac:dyDescent="0.25">
      <c r="AQ3073" s="37"/>
    </row>
    <row r="3074" spans="43:43" x14ac:dyDescent="0.25">
      <c r="AQ3074" s="37"/>
    </row>
    <row r="3075" spans="43:43" x14ac:dyDescent="0.25">
      <c r="AQ3075" s="37"/>
    </row>
    <row r="3076" spans="43:43" x14ac:dyDescent="0.25">
      <c r="AQ3076" s="37"/>
    </row>
    <row r="3077" spans="43:43" x14ac:dyDescent="0.25">
      <c r="AQ3077" s="37"/>
    </row>
    <row r="3078" spans="43:43" x14ac:dyDescent="0.25">
      <c r="AQ3078" s="37"/>
    </row>
    <row r="3079" spans="43:43" x14ac:dyDescent="0.25">
      <c r="AQ3079" s="37"/>
    </row>
    <row r="3080" spans="43:43" x14ac:dyDescent="0.25">
      <c r="AQ3080" s="37"/>
    </row>
    <row r="3081" spans="43:43" x14ac:dyDescent="0.25">
      <c r="AQ3081" s="37"/>
    </row>
    <row r="3082" spans="43:43" x14ac:dyDescent="0.25">
      <c r="AQ3082" s="37"/>
    </row>
    <row r="3083" spans="43:43" x14ac:dyDescent="0.25">
      <c r="AQ3083" s="37"/>
    </row>
    <row r="3084" spans="43:43" x14ac:dyDescent="0.25">
      <c r="AQ3084" s="37"/>
    </row>
    <row r="3085" spans="43:43" x14ac:dyDescent="0.25">
      <c r="AQ3085" s="37"/>
    </row>
    <row r="3086" spans="43:43" x14ac:dyDescent="0.25">
      <c r="AQ3086" s="37"/>
    </row>
    <row r="3087" spans="43:43" x14ac:dyDescent="0.25">
      <c r="AQ3087" s="37"/>
    </row>
    <row r="3088" spans="43:43" x14ac:dyDescent="0.25">
      <c r="AQ3088" s="37"/>
    </row>
    <row r="3089" spans="43:43" x14ac:dyDescent="0.25">
      <c r="AQ3089" s="37"/>
    </row>
    <row r="3090" spans="43:43" x14ac:dyDescent="0.25">
      <c r="AQ3090" s="37"/>
    </row>
    <row r="3091" spans="43:43" x14ac:dyDescent="0.25">
      <c r="AQ3091" s="37"/>
    </row>
    <row r="3092" spans="43:43" x14ac:dyDescent="0.25">
      <c r="AQ3092" s="37"/>
    </row>
    <row r="3093" spans="43:43" x14ac:dyDescent="0.25">
      <c r="AQ3093" s="37"/>
    </row>
    <row r="3094" spans="43:43" x14ac:dyDescent="0.25">
      <c r="AQ3094" s="37"/>
    </row>
    <row r="3095" spans="43:43" x14ac:dyDescent="0.25">
      <c r="AQ3095" s="37"/>
    </row>
    <row r="3096" spans="43:43" x14ac:dyDescent="0.25">
      <c r="AQ3096" s="37"/>
    </row>
    <row r="3097" spans="43:43" x14ac:dyDescent="0.25">
      <c r="AQ3097" s="37"/>
    </row>
    <row r="3098" spans="43:43" x14ac:dyDescent="0.25">
      <c r="AQ3098" s="37"/>
    </row>
    <row r="3099" spans="43:43" x14ac:dyDescent="0.25">
      <c r="AQ3099" s="37"/>
    </row>
    <row r="3100" spans="43:43" x14ac:dyDescent="0.25">
      <c r="AQ3100" s="37"/>
    </row>
    <row r="3101" spans="43:43" x14ac:dyDescent="0.25">
      <c r="AQ3101" s="37"/>
    </row>
    <row r="3102" spans="43:43" x14ac:dyDescent="0.25">
      <c r="AQ3102" s="37"/>
    </row>
    <row r="3103" spans="43:43" x14ac:dyDescent="0.25">
      <c r="AQ3103" s="37"/>
    </row>
    <row r="3104" spans="43:43" x14ac:dyDescent="0.25">
      <c r="AQ3104" s="37"/>
    </row>
    <row r="3105" spans="43:43" x14ac:dyDescent="0.25">
      <c r="AQ3105" s="37"/>
    </row>
    <row r="3106" spans="43:43" x14ac:dyDescent="0.25">
      <c r="AQ3106" s="37"/>
    </row>
    <row r="3107" spans="43:43" x14ac:dyDescent="0.25">
      <c r="AQ3107" s="37"/>
    </row>
    <row r="3108" spans="43:43" x14ac:dyDescent="0.25">
      <c r="AQ3108" s="37"/>
    </row>
    <row r="3109" spans="43:43" x14ac:dyDescent="0.25">
      <c r="AQ3109" s="37"/>
    </row>
    <row r="3110" spans="43:43" x14ac:dyDescent="0.25">
      <c r="AQ3110" s="37"/>
    </row>
    <row r="3111" spans="43:43" x14ac:dyDescent="0.25">
      <c r="AQ3111" s="37"/>
    </row>
    <row r="3112" spans="43:43" x14ac:dyDescent="0.25">
      <c r="AQ3112" s="37"/>
    </row>
    <row r="3113" spans="43:43" x14ac:dyDescent="0.25">
      <c r="AQ3113" s="37"/>
    </row>
    <row r="3114" spans="43:43" x14ac:dyDescent="0.25">
      <c r="AQ3114" s="37"/>
    </row>
    <row r="3115" spans="43:43" x14ac:dyDescent="0.25">
      <c r="AQ3115" s="37"/>
    </row>
    <row r="3116" spans="43:43" x14ac:dyDescent="0.25">
      <c r="AQ3116" s="37"/>
    </row>
    <row r="3117" spans="43:43" x14ac:dyDescent="0.25">
      <c r="AQ3117" s="37"/>
    </row>
    <row r="3118" spans="43:43" x14ac:dyDescent="0.25">
      <c r="AQ3118" s="37"/>
    </row>
    <row r="3119" spans="43:43" x14ac:dyDescent="0.25">
      <c r="AQ3119" s="37"/>
    </row>
    <row r="3120" spans="43:43" x14ac:dyDescent="0.25">
      <c r="AQ3120" s="37"/>
    </row>
    <row r="3121" spans="43:43" x14ac:dyDescent="0.25">
      <c r="AQ3121" s="37"/>
    </row>
    <row r="3122" spans="43:43" x14ac:dyDescent="0.25">
      <c r="AQ3122" s="37"/>
    </row>
    <row r="3123" spans="43:43" x14ac:dyDescent="0.25">
      <c r="AQ3123" s="37"/>
    </row>
    <row r="3124" spans="43:43" x14ac:dyDescent="0.25">
      <c r="AQ3124" s="37"/>
    </row>
    <row r="3125" spans="43:43" x14ac:dyDescent="0.25">
      <c r="AQ3125" s="37"/>
    </row>
    <row r="3126" spans="43:43" x14ac:dyDescent="0.25">
      <c r="AQ3126" s="37"/>
    </row>
    <row r="3127" spans="43:43" x14ac:dyDescent="0.25">
      <c r="AQ3127" s="37"/>
    </row>
    <row r="3128" spans="43:43" x14ac:dyDescent="0.25">
      <c r="AQ3128" s="37"/>
    </row>
    <row r="3129" spans="43:43" x14ac:dyDescent="0.25">
      <c r="AQ3129" s="37"/>
    </row>
    <row r="3130" spans="43:43" x14ac:dyDescent="0.25">
      <c r="AQ3130" s="37"/>
    </row>
    <row r="3131" spans="43:43" x14ac:dyDescent="0.25">
      <c r="AQ3131" s="37"/>
    </row>
    <row r="3132" spans="43:43" x14ac:dyDescent="0.25">
      <c r="AQ3132" s="37"/>
    </row>
    <row r="3133" spans="43:43" x14ac:dyDescent="0.25">
      <c r="AQ3133" s="37"/>
    </row>
    <row r="3134" spans="43:43" x14ac:dyDescent="0.25">
      <c r="AQ3134" s="37"/>
    </row>
    <row r="3135" spans="43:43" x14ac:dyDescent="0.25">
      <c r="AQ3135" s="37"/>
    </row>
    <row r="3136" spans="43:43" x14ac:dyDescent="0.25">
      <c r="AQ3136" s="37"/>
    </row>
    <row r="3137" spans="43:43" x14ac:dyDescent="0.25">
      <c r="AQ3137" s="37"/>
    </row>
    <row r="3138" spans="43:43" x14ac:dyDescent="0.25">
      <c r="AQ3138" s="37"/>
    </row>
    <row r="3139" spans="43:43" x14ac:dyDescent="0.25">
      <c r="AQ3139" s="37"/>
    </row>
    <row r="3140" spans="43:43" x14ac:dyDescent="0.25">
      <c r="AQ3140" s="37"/>
    </row>
    <row r="3141" spans="43:43" x14ac:dyDescent="0.25">
      <c r="AQ3141" s="37"/>
    </row>
    <row r="3142" spans="43:43" x14ac:dyDescent="0.25">
      <c r="AQ3142" s="37"/>
    </row>
    <row r="3143" spans="43:43" x14ac:dyDescent="0.25">
      <c r="AQ3143" s="37"/>
    </row>
    <row r="3144" spans="43:43" x14ac:dyDescent="0.25">
      <c r="AQ3144" s="37"/>
    </row>
    <row r="3145" spans="43:43" x14ac:dyDescent="0.25">
      <c r="AQ3145" s="37"/>
    </row>
    <row r="3146" spans="43:43" x14ac:dyDescent="0.25">
      <c r="AQ3146" s="37"/>
    </row>
    <row r="3147" spans="43:43" x14ac:dyDescent="0.25">
      <c r="AQ3147" s="37"/>
    </row>
    <row r="3148" spans="43:43" x14ac:dyDescent="0.25">
      <c r="AQ3148" s="37"/>
    </row>
    <row r="3149" spans="43:43" x14ac:dyDescent="0.25">
      <c r="AQ3149" s="37"/>
    </row>
    <row r="3150" spans="43:43" x14ac:dyDescent="0.25">
      <c r="AQ3150" s="37"/>
    </row>
    <row r="3151" spans="43:43" x14ac:dyDescent="0.25">
      <c r="AQ3151" s="37"/>
    </row>
    <row r="3152" spans="43:43" x14ac:dyDescent="0.25">
      <c r="AQ3152" s="37"/>
    </row>
    <row r="3153" spans="43:43" x14ac:dyDescent="0.25">
      <c r="AQ3153" s="37"/>
    </row>
    <row r="3154" spans="43:43" x14ac:dyDescent="0.25">
      <c r="AQ3154" s="37"/>
    </row>
    <row r="3155" spans="43:43" x14ac:dyDescent="0.25">
      <c r="AQ3155" s="37"/>
    </row>
    <row r="3156" spans="43:43" x14ac:dyDescent="0.25">
      <c r="AQ3156" s="37"/>
    </row>
    <row r="3157" spans="43:43" x14ac:dyDescent="0.25">
      <c r="AQ3157" s="37"/>
    </row>
    <row r="3158" spans="43:43" x14ac:dyDescent="0.25">
      <c r="AQ3158" s="37"/>
    </row>
    <row r="3159" spans="43:43" x14ac:dyDescent="0.25">
      <c r="AQ3159" s="37"/>
    </row>
    <row r="3160" spans="43:43" x14ac:dyDescent="0.25">
      <c r="AQ3160" s="37"/>
    </row>
    <row r="3161" spans="43:43" x14ac:dyDescent="0.25">
      <c r="AQ3161" s="37"/>
    </row>
    <row r="3162" spans="43:43" x14ac:dyDescent="0.25">
      <c r="AQ3162" s="37"/>
    </row>
    <row r="3163" spans="43:43" x14ac:dyDescent="0.25">
      <c r="AQ3163" s="37"/>
    </row>
    <row r="3164" spans="43:43" x14ac:dyDescent="0.25">
      <c r="AQ3164" s="37"/>
    </row>
    <row r="3165" spans="43:43" x14ac:dyDescent="0.25">
      <c r="AQ3165" s="37"/>
    </row>
    <row r="3166" spans="43:43" x14ac:dyDescent="0.25">
      <c r="AQ3166" s="37"/>
    </row>
    <row r="3167" spans="43:43" x14ac:dyDescent="0.25">
      <c r="AQ3167" s="37"/>
    </row>
    <row r="3168" spans="43:43" x14ac:dyDescent="0.25">
      <c r="AQ3168" s="37"/>
    </row>
    <row r="3169" spans="43:43" x14ac:dyDescent="0.25">
      <c r="AQ3169" s="37"/>
    </row>
    <row r="3170" spans="43:43" x14ac:dyDescent="0.25">
      <c r="AQ3170" s="37"/>
    </row>
    <row r="3171" spans="43:43" x14ac:dyDescent="0.25">
      <c r="AQ3171" s="37"/>
    </row>
    <row r="3172" spans="43:43" x14ac:dyDescent="0.25">
      <c r="AQ3172" s="37"/>
    </row>
    <row r="3173" spans="43:43" x14ac:dyDescent="0.25">
      <c r="AQ3173" s="37"/>
    </row>
    <row r="3174" spans="43:43" x14ac:dyDescent="0.25">
      <c r="AQ3174" s="37"/>
    </row>
    <row r="3175" spans="43:43" x14ac:dyDescent="0.25">
      <c r="AQ3175" s="37"/>
    </row>
    <row r="3176" spans="43:43" x14ac:dyDescent="0.25">
      <c r="AQ3176" s="37"/>
    </row>
    <row r="3177" spans="43:43" x14ac:dyDescent="0.25">
      <c r="AQ3177" s="37"/>
    </row>
    <row r="3178" spans="43:43" x14ac:dyDescent="0.25">
      <c r="AQ3178" s="37"/>
    </row>
    <row r="3179" spans="43:43" x14ac:dyDescent="0.25">
      <c r="AQ3179" s="37"/>
    </row>
    <row r="3180" spans="43:43" x14ac:dyDescent="0.25">
      <c r="AQ3180" s="37"/>
    </row>
    <row r="3181" spans="43:43" x14ac:dyDescent="0.25">
      <c r="AQ3181" s="37"/>
    </row>
    <row r="3182" spans="43:43" x14ac:dyDescent="0.25">
      <c r="AQ3182" s="37"/>
    </row>
    <row r="3183" spans="43:43" x14ac:dyDescent="0.25">
      <c r="AQ3183" s="37"/>
    </row>
    <row r="3184" spans="43:43" x14ac:dyDescent="0.25">
      <c r="AQ3184" s="37"/>
    </row>
    <row r="3185" spans="43:43" x14ac:dyDescent="0.25">
      <c r="AQ3185" s="37"/>
    </row>
    <row r="3186" spans="43:43" x14ac:dyDescent="0.25">
      <c r="AQ3186" s="37"/>
    </row>
    <row r="3187" spans="43:43" x14ac:dyDescent="0.25">
      <c r="AQ3187" s="37"/>
    </row>
    <row r="3188" spans="43:43" x14ac:dyDescent="0.25">
      <c r="AQ3188" s="37"/>
    </row>
    <row r="3189" spans="43:43" x14ac:dyDescent="0.25">
      <c r="AQ3189" s="37"/>
    </row>
    <row r="3190" spans="43:43" x14ac:dyDescent="0.25">
      <c r="AQ3190" s="37"/>
    </row>
    <row r="3191" spans="43:43" x14ac:dyDescent="0.25">
      <c r="AQ3191" s="37"/>
    </row>
    <row r="3192" spans="43:43" x14ac:dyDescent="0.25">
      <c r="AQ3192" s="37"/>
    </row>
    <row r="3193" spans="43:43" x14ac:dyDescent="0.25">
      <c r="AQ3193" s="37"/>
    </row>
    <row r="3194" spans="43:43" x14ac:dyDescent="0.25">
      <c r="AQ3194" s="37"/>
    </row>
    <row r="3195" spans="43:43" x14ac:dyDescent="0.25">
      <c r="AQ3195" s="37"/>
    </row>
    <row r="3196" spans="43:43" x14ac:dyDescent="0.25">
      <c r="AQ3196" s="37"/>
    </row>
    <row r="3197" spans="43:43" x14ac:dyDescent="0.25">
      <c r="AQ3197" s="37"/>
    </row>
    <row r="3198" spans="43:43" x14ac:dyDescent="0.25">
      <c r="AQ3198" s="37"/>
    </row>
    <row r="3199" spans="43:43" x14ac:dyDescent="0.25">
      <c r="AQ3199" s="37"/>
    </row>
    <row r="3200" spans="43:43" x14ac:dyDescent="0.25">
      <c r="AQ3200" s="37"/>
    </row>
    <row r="3201" spans="43:43" x14ac:dyDescent="0.25">
      <c r="AQ3201" s="37"/>
    </row>
    <row r="3202" spans="43:43" x14ac:dyDescent="0.25">
      <c r="AQ3202" s="37"/>
    </row>
    <row r="3203" spans="43:43" x14ac:dyDescent="0.25">
      <c r="AQ3203" s="37"/>
    </row>
    <row r="3204" spans="43:43" x14ac:dyDescent="0.25">
      <c r="AQ3204" s="37"/>
    </row>
    <row r="3205" spans="43:43" x14ac:dyDescent="0.25">
      <c r="AQ3205" s="37"/>
    </row>
    <row r="3206" spans="43:43" x14ac:dyDescent="0.25">
      <c r="AQ3206" s="37"/>
    </row>
    <row r="3207" spans="43:43" x14ac:dyDescent="0.25">
      <c r="AQ3207" s="37"/>
    </row>
    <row r="3208" spans="43:43" x14ac:dyDescent="0.25">
      <c r="AQ3208" s="37"/>
    </row>
    <row r="3209" spans="43:43" x14ac:dyDescent="0.25">
      <c r="AQ3209" s="37"/>
    </row>
    <row r="3210" spans="43:43" x14ac:dyDescent="0.25">
      <c r="AQ3210" s="37"/>
    </row>
    <row r="3211" spans="43:43" x14ac:dyDescent="0.25">
      <c r="AQ3211" s="37"/>
    </row>
    <row r="3212" spans="43:43" x14ac:dyDescent="0.25">
      <c r="AQ3212" s="37"/>
    </row>
    <row r="3213" spans="43:43" x14ac:dyDescent="0.25">
      <c r="AQ3213" s="37"/>
    </row>
    <row r="3214" spans="43:43" x14ac:dyDescent="0.25">
      <c r="AQ3214" s="37"/>
    </row>
    <row r="3215" spans="43:43" x14ac:dyDescent="0.25">
      <c r="AQ3215" s="37"/>
    </row>
    <row r="3216" spans="43:43" x14ac:dyDescent="0.25">
      <c r="AQ3216" s="37"/>
    </row>
    <row r="3217" spans="43:43" x14ac:dyDescent="0.25">
      <c r="AQ3217" s="37"/>
    </row>
    <row r="3218" spans="43:43" x14ac:dyDescent="0.25">
      <c r="AQ3218" s="37"/>
    </row>
    <row r="3219" spans="43:43" x14ac:dyDescent="0.25">
      <c r="AQ3219" s="37"/>
    </row>
    <row r="3220" spans="43:43" x14ac:dyDescent="0.25">
      <c r="AQ3220" s="37"/>
    </row>
    <row r="3221" spans="43:43" x14ac:dyDescent="0.25">
      <c r="AQ3221" s="37"/>
    </row>
    <row r="3222" spans="43:43" x14ac:dyDescent="0.25">
      <c r="AQ3222" s="37"/>
    </row>
    <row r="3223" spans="43:43" x14ac:dyDescent="0.25">
      <c r="AQ3223" s="37"/>
    </row>
    <row r="3224" spans="43:43" x14ac:dyDescent="0.25">
      <c r="AQ3224" s="37"/>
    </row>
    <row r="3225" spans="43:43" x14ac:dyDescent="0.25">
      <c r="AQ3225" s="37"/>
    </row>
    <row r="3226" spans="43:43" x14ac:dyDescent="0.25">
      <c r="AQ3226" s="37"/>
    </row>
    <row r="3227" spans="43:43" x14ac:dyDescent="0.25">
      <c r="AQ3227" s="37"/>
    </row>
    <row r="3228" spans="43:43" x14ac:dyDescent="0.25">
      <c r="AQ3228" s="37"/>
    </row>
    <row r="3229" spans="43:43" x14ac:dyDescent="0.25">
      <c r="AQ3229" s="37"/>
    </row>
    <row r="3230" spans="43:43" x14ac:dyDescent="0.25">
      <c r="AQ3230" s="37"/>
    </row>
    <row r="3231" spans="43:43" x14ac:dyDescent="0.25">
      <c r="AQ3231" s="37"/>
    </row>
    <row r="3232" spans="43:43" x14ac:dyDescent="0.25">
      <c r="AQ3232" s="37"/>
    </row>
    <row r="3233" spans="43:43" x14ac:dyDescent="0.25">
      <c r="AQ3233" s="37"/>
    </row>
    <row r="3234" spans="43:43" x14ac:dyDescent="0.25">
      <c r="AQ3234" s="37"/>
    </row>
    <row r="3235" spans="43:43" x14ac:dyDescent="0.25">
      <c r="AQ3235" s="37"/>
    </row>
    <row r="3236" spans="43:43" x14ac:dyDescent="0.25">
      <c r="AQ3236" s="37"/>
    </row>
    <row r="3237" spans="43:43" x14ac:dyDescent="0.25">
      <c r="AQ3237" s="37"/>
    </row>
    <row r="3238" spans="43:43" x14ac:dyDescent="0.25">
      <c r="AQ3238" s="37"/>
    </row>
    <row r="3239" spans="43:43" x14ac:dyDescent="0.25">
      <c r="AQ3239" s="37"/>
    </row>
    <row r="3240" spans="43:43" x14ac:dyDescent="0.25">
      <c r="AQ3240" s="37"/>
    </row>
    <row r="3241" spans="43:43" x14ac:dyDescent="0.25">
      <c r="AQ3241" s="37"/>
    </row>
    <row r="3242" spans="43:43" x14ac:dyDescent="0.25">
      <c r="AQ3242" s="37"/>
    </row>
    <row r="3243" spans="43:43" x14ac:dyDescent="0.25">
      <c r="AQ3243" s="37"/>
    </row>
    <row r="3244" spans="43:43" x14ac:dyDescent="0.25">
      <c r="AQ3244" s="37"/>
    </row>
    <row r="3245" spans="43:43" x14ac:dyDescent="0.25">
      <c r="AQ3245" s="37"/>
    </row>
    <row r="3246" spans="43:43" x14ac:dyDescent="0.25">
      <c r="AQ3246" s="37"/>
    </row>
    <row r="3247" spans="43:43" x14ac:dyDescent="0.25">
      <c r="AQ3247" s="37"/>
    </row>
    <row r="3248" spans="43:43" x14ac:dyDescent="0.25">
      <c r="AQ3248" s="37"/>
    </row>
    <row r="3249" spans="43:43" x14ac:dyDescent="0.25">
      <c r="AQ3249" s="37"/>
    </row>
    <row r="3250" spans="43:43" x14ac:dyDescent="0.25">
      <c r="AQ3250" s="37"/>
    </row>
    <row r="3251" spans="43:43" x14ac:dyDescent="0.25">
      <c r="AQ3251" s="37"/>
    </row>
    <row r="3252" spans="43:43" x14ac:dyDescent="0.25">
      <c r="AQ3252" s="37"/>
    </row>
    <row r="3253" spans="43:43" x14ac:dyDescent="0.25">
      <c r="AQ3253" s="37"/>
    </row>
    <row r="3254" spans="43:43" x14ac:dyDescent="0.25">
      <c r="AQ3254" s="37"/>
    </row>
    <row r="3255" spans="43:43" x14ac:dyDescent="0.25">
      <c r="AQ3255" s="37"/>
    </row>
    <row r="3256" spans="43:43" x14ac:dyDescent="0.25">
      <c r="AQ3256" s="37"/>
    </row>
    <row r="3257" spans="43:43" x14ac:dyDescent="0.25">
      <c r="AQ3257" s="37"/>
    </row>
    <row r="3258" spans="43:43" x14ac:dyDescent="0.25">
      <c r="AQ3258" s="37"/>
    </row>
    <row r="3259" spans="43:43" x14ac:dyDescent="0.25">
      <c r="AQ3259" s="37"/>
    </row>
    <row r="3260" spans="43:43" x14ac:dyDescent="0.25">
      <c r="AQ3260" s="37"/>
    </row>
    <row r="3261" spans="43:43" x14ac:dyDescent="0.25">
      <c r="AQ3261" s="37"/>
    </row>
    <row r="3262" spans="43:43" x14ac:dyDescent="0.25">
      <c r="AQ3262" s="37"/>
    </row>
    <row r="3263" spans="43:43" x14ac:dyDescent="0.25">
      <c r="AQ3263" s="37"/>
    </row>
    <row r="3264" spans="43:43" x14ac:dyDescent="0.25">
      <c r="AQ3264" s="37"/>
    </row>
    <row r="3265" spans="43:43" x14ac:dyDescent="0.25">
      <c r="AQ3265" s="37"/>
    </row>
    <row r="3266" spans="43:43" x14ac:dyDescent="0.25">
      <c r="AQ3266" s="37"/>
    </row>
    <row r="3267" spans="43:43" x14ac:dyDescent="0.25">
      <c r="AQ3267" s="37"/>
    </row>
    <row r="3268" spans="43:43" x14ac:dyDescent="0.25">
      <c r="AQ3268" s="37"/>
    </row>
    <row r="3269" spans="43:43" x14ac:dyDescent="0.25">
      <c r="AQ3269" s="37"/>
    </row>
    <row r="3270" spans="43:43" x14ac:dyDescent="0.25">
      <c r="AQ3270" s="37"/>
    </row>
    <row r="3271" spans="43:43" x14ac:dyDescent="0.25">
      <c r="AQ3271" s="37"/>
    </row>
    <row r="3272" spans="43:43" x14ac:dyDescent="0.25">
      <c r="AQ3272" s="37"/>
    </row>
    <row r="3273" spans="43:43" x14ac:dyDescent="0.25">
      <c r="AQ3273" s="37"/>
    </row>
    <row r="3274" spans="43:43" x14ac:dyDescent="0.25">
      <c r="AQ3274" s="37"/>
    </row>
    <row r="3275" spans="43:43" x14ac:dyDescent="0.25">
      <c r="AQ3275" s="37"/>
    </row>
    <row r="3276" spans="43:43" x14ac:dyDescent="0.25">
      <c r="AQ3276" s="37"/>
    </row>
    <row r="3277" spans="43:43" x14ac:dyDescent="0.25">
      <c r="AQ3277" s="37"/>
    </row>
    <row r="3278" spans="43:43" x14ac:dyDescent="0.25">
      <c r="AQ3278" s="37"/>
    </row>
    <row r="3279" spans="43:43" x14ac:dyDescent="0.25">
      <c r="AQ3279" s="37"/>
    </row>
    <row r="3280" spans="43:43" x14ac:dyDescent="0.25">
      <c r="AQ3280" s="37"/>
    </row>
    <row r="3281" spans="43:43" x14ac:dyDescent="0.25">
      <c r="AQ3281" s="37"/>
    </row>
    <row r="3282" spans="43:43" x14ac:dyDescent="0.25">
      <c r="AQ3282" s="37"/>
    </row>
    <row r="3283" spans="43:43" x14ac:dyDescent="0.25">
      <c r="AQ3283" s="37"/>
    </row>
    <row r="3284" spans="43:43" x14ac:dyDescent="0.25">
      <c r="AQ3284" s="37"/>
    </row>
    <row r="3285" spans="43:43" x14ac:dyDescent="0.25">
      <c r="AQ3285" s="37"/>
    </row>
    <row r="3286" spans="43:43" x14ac:dyDescent="0.25">
      <c r="AQ3286" s="37"/>
    </row>
    <row r="3287" spans="43:43" x14ac:dyDescent="0.25">
      <c r="AQ3287" s="37"/>
    </row>
    <row r="3288" spans="43:43" x14ac:dyDescent="0.25">
      <c r="AQ3288" s="37"/>
    </row>
    <row r="3289" spans="43:43" x14ac:dyDescent="0.25">
      <c r="AQ3289" s="37"/>
    </row>
    <row r="3290" spans="43:43" x14ac:dyDescent="0.25">
      <c r="AQ3290" s="37"/>
    </row>
    <row r="3291" spans="43:43" x14ac:dyDescent="0.25">
      <c r="AQ3291" s="37"/>
    </row>
    <row r="3292" spans="43:43" x14ac:dyDescent="0.25">
      <c r="AQ3292" s="37"/>
    </row>
    <row r="3293" spans="43:43" x14ac:dyDescent="0.25">
      <c r="AQ3293" s="37"/>
    </row>
    <row r="3294" spans="43:43" x14ac:dyDescent="0.25">
      <c r="AQ3294" s="37"/>
    </row>
    <row r="3295" spans="43:43" x14ac:dyDescent="0.25">
      <c r="AQ3295" s="37"/>
    </row>
    <row r="3296" spans="43:43" x14ac:dyDescent="0.25">
      <c r="AQ3296" s="37"/>
    </row>
    <row r="3297" spans="43:43" x14ac:dyDescent="0.25">
      <c r="AQ3297" s="37"/>
    </row>
    <row r="3298" spans="43:43" x14ac:dyDescent="0.25">
      <c r="AQ3298" s="37"/>
    </row>
    <row r="3299" spans="43:43" x14ac:dyDescent="0.25">
      <c r="AQ3299" s="37"/>
    </row>
    <row r="3300" spans="43:43" x14ac:dyDescent="0.25">
      <c r="AQ3300" s="37"/>
    </row>
    <row r="3301" spans="43:43" x14ac:dyDescent="0.25">
      <c r="AQ3301" s="37"/>
    </row>
    <row r="3302" spans="43:43" x14ac:dyDescent="0.25">
      <c r="AQ3302" s="37"/>
    </row>
    <row r="3303" spans="43:43" x14ac:dyDescent="0.25">
      <c r="AQ3303" s="37"/>
    </row>
    <row r="3304" spans="43:43" x14ac:dyDescent="0.25">
      <c r="AQ3304" s="37"/>
    </row>
    <row r="3305" spans="43:43" x14ac:dyDescent="0.25">
      <c r="AQ3305" s="37"/>
    </row>
    <row r="3306" spans="43:43" x14ac:dyDescent="0.25">
      <c r="AQ3306" s="37"/>
    </row>
    <row r="3307" spans="43:43" x14ac:dyDescent="0.25">
      <c r="AQ3307" s="37"/>
    </row>
    <row r="3308" spans="43:43" x14ac:dyDescent="0.25">
      <c r="AQ3308" s="37"/>
    </row>
    <row r="3309" spans="43:43" x14ac:dyDescent="0.25">
      <c r="AQ3309" s="37"/>
    </row>
    <row r="3310" spans="43:43" x14ac:dyDescent="0.25">
      <c r="AQ3310" s="37"/>
    </row>
    <row r="3311" spans="43:43" x14ac:dyDescent="0.25">
      <c r="AQ3311" s="37"/>
    </row>
    <row r="3312" spans="43:43" x14ac:dyDescent="0.25">
      <c r="AQ3312" s="37"/>
    </row>
    <row r="3313" spans="43:43" x14ac:dyDescent="0.25">
      <c r="AQ3313" s="37"/>
    </row>
    <row r="3314" spans="43:43" x14ac:dyDescent="0.25">
      <c r="AQ3314" s="37"/>
    </row>
    <row r="3315" spans="43:43" x14ac:dyDescent="0.25">
      <c r="AQ3315" s="37"/>
    </row>
    <row r="3316" spans="43:43" x14ac:dyDescent="0.25">
      <c r="AQ3316" s="37"/>
    </row>
    <row r="3317" spans="43:43" x14ac:dyDescent="0.25">
      <c r="AQ3317" s="37"/>
    </row>
    <row r="3318" spans="43:43" x14ac:dyDescent="0.25">
      <c r="AQ3318" s="37"/>
    </row>
    <row r="3319" spans="43:43" x14ac:dyDescent="0.25">
      <c r="AQ3319" s="37"/>
    </row>
    <row r="3320" spans="43:43" x14ac:dyDescent="0.25">
      <c r="AQ3320" s="37"/>
    </row>
    <row r="3321" spans="43:43" x14ac:dyDescent="0.25">
      <c r="AQ3321" s="37"/>
    </row>
    <row r="3322" spans="43:43" x14ac:dyDescent="0.25">
      <c r="AQ3322" s="37"/>
    </row>
    <row r="3323" spans="43:43" x14ac:dyDescent="0.25">
      <c r="AQ3323" s="37"/>
    </row>
    <row r="3324" spans="43:43" x14ac:dyDescent="0.25">
      <c r="AQ3324" s="37"/>
    </row>
    <row r="3325" spans="43:43" x14ac:dyDescent="0.25">
      <c r="AQ3325" s="37"/>
    </row>
    <row r="3326" spans="43:43" x14ac:dyDescent="0.25">
      <c r="AQ3326" s="37"/>
    </row>
    <row r="3327" spans="43:43" x14ac:dyDescent="0.25">
      <c r="AQ3327" s="37"/>
    </row>
    <row r="3328" spans="43:43" x14ac:dyDescent="0.25">
      <c r="AQ3328" s="37"/>
    </row>
    <row r="3329" spans="43:43" x14ac:dyDescent="0.25">
      <c r="AQ3329" s="37"/>
    </row>
    <row r="3330" spans="43:43" x14ac:dyDescent="0.25">
      <c r="AQ3330" s="37"/>
    </row>
    <row r="3331" spans="43:43" x14ac:dyDescent="0.25">
      <c r="AQ3331" s="37"/>
    </row>
    <row r="3332" spans="43:43" x14ac:dyDescent="0.25">
      <c r="AQ3332" s="37"/>
    </row>
    <row r="3333" spans="43:43" x14ac:dyDescent="0.25">
      <c r="AQ3333" s="37"/>
    </row>
    <row r="3334" spans="43:43" x14ac:dyDescent="0.25">
      <c r="AQ3334" s="37"/>
    </row>
    <row r="3335" spans="43:43" x14ac:dyDescent="0.25">
      <c r="AQ3335" s="37"/>
    </row>
    <row r="3336" spans="43:43" x14ac:dyDescent="0.25">
      <c r="AQ3336" s="37"/>
    </row>
    <row r="3337" spans="43:43" x14ac:dyDescent="0.25">
      <c r="AQ3337" s="37"/>
    </row>
    <row r="3338" spans="43:43" x14ac:dyDescent="0.25">
      <c r="AQ3338" s="37"/>
    </row>
    <row r="3339" spans="43:43" x14ac:dyDescent="0.25">
      <c r="AQ3339" s="37"/>
    </row>
    <row r="3340" spans="43:43" x14ac:dyDescent="0.25">
      <c r="AQ3340" s="37"/>
    </row>
    <row r="3341" spans="43:43" x14ac:dyDescent="0.25">
      <c r="AQ3341" s="37"/>
    </row>
    <row r="3342" spans="43:43" x14ac:dyDescent="0.25">
      <c r="AQ3342" s="37"/>
    </row>
    <row r="3343" spans="43:43" x14ac:dyDescent="0.25">
      <c r="AQ3343" s="37"/>
    </row>
    <row r="3344" spans="43:43" x14ac:dyDescent="0.25">
      <c r="AQ3344" s="37"/>
    </row>
    <row r="3345" spans="43:43" x14ac:dyDescent="0.25">
      <c r="AQ3345" s="37"/>
    </row>
    <row r="3346" spans="43:43" x14ac:dyDescent="0.25">
      <c r="AQ3346" s="37"/>
    </row>
    <row r="3347" spans="43:43" x14ac:dyDescent="0.25">
      <c r="AQ3347" s="37"/>
    </row>
    <row r="3348" spans="43:43" x14ac:dyDescent="0.25">
      <c r="AQ3348" s="37"/>
    </row>
    <row r="3349" spans="43:43" x14ac:dyDescent="0.25">
      <c r="AQ3349" s="37"/>
    </row>
    <row r="3350" spans="43:43" x14ac:dyDescent="0.25">
      <c r="AQ3350" s="37"/>
    </row>
    <row r="3351" spans="43:43" x14ac:dyDescent="0.25">
      <c r="AQ3351" s="37"/>
    </row>
    <row r="3352" spans="43:43" x14ac:dyDescent="0.25">
      <c r="AQ3352" s="37"/>
    </row>
    <row r="3353" spans="43:43" x14ac:dyDescent="0.25">
      <c r="AQ3353" s="37"/>
    </row>
    <row r="3354" spans="43:43" x14ac:dyDescent="0.25">
      <c r="AQ3354" s="37"/>
    </row>
    <row r="3355" spans="43:43" x14ac:dyDescent="0.25">
      <c r="AQ3355" s="37"/>
    </row>
    <row r="3356" spans="43:43" x14ac:dyDescent="0.25">
      <c r="AQ3356" s="37"/>
    </row>
    <row r="3357" spans="43:43" x14ac:dyDescent="0.25">
      <c r="AQ3357" s="37"/>
    </row>
    <row r="3358" spans="43:43" x14ac:dyDescent="0.25">
      <c r="AQ3358" s="37"/>
    </row>
    <row r="3359" spans="43:43" x14ac:dyDescent="0.25">
      <c r="AQ3359" s="37"/>
    </row>
    <row r="3360" spans="43:43" x14ac:dyDescent="0.25">
      <c r="AQ3360" s="37"/>
    </row>
    <row r="3361" spans="43:43" x14ac:dyDescent="0.25">
      <c r="AQ3361" s="37"/>
    </row>
    <row r="3362" spans="43:43" x14ac:dyDescent="0.25">
      <c r="AQ3362" s="37"/>
    </row>
    <row r="3363" spans="43:43" x14ac:dyDescent="0.25">
      <c r="AQ3363" s="37"/>
    </row>
    <row r="3364" spans="43:43" x14ac:dyDescent="0.25">
      <c r="AQ3364" s="37"/>
    </row>
    <row r="3365" spans="43:43" x14ac:dyDescent="0.25">
      <c r="AQ3365" s="37"/>
    </row>
    <row r="3366" spans="43:43" x14ac:dyDescent="0.25">
      <c r="AQ3366" s="37"/>
    </row>
    <row r="3367" spans="43:43" x14ac:dyDescent="0.25">
      <c r="AQ3367" s="37"/>
    </row>
    <row r="3368" spans="43:43" x14ac:dyDescent="0.25">
      <c r="AQ3368" s="37"/>
    </row>
    <row r="3369" spans="43:43" x14ac:dyDescent="0.25">
      <c r="AQ3369" s="37"/>
    </row>
    <row r="3370" spans="43:43" x14ac:dyDescent="0.25">
      <c r="AQ3370" s="37"/>
    </row>
    <row r="3371" spans="43:43" x14ac:dyDescent="0.25">
      <c r="AQ3371" s="37"/>
    </row>
    <row r="3372" spans="43:43" x14ac:dyDescent="0.25">
      <c r="AQ3372" s="37"/>
    </row>
    <row r="3373" spans="43:43" x14ac:dyDescent="0.25">
      <c r="AQ3373" s="37"/>
    </row>
    <row r="3374" spans="43:43" x14ac:dyDescent="0.25">
      <c r="AQ3374" s="37"/>
    </row>
    <row r="3375" spans="43:43" x14ac:dyDescent="0.25">
      <c r="AQ3375" s="37"/>
    </row>
    <row r="3376" spans="43:43" x14ac:dyDescent="0.25">
      <c r="AQ3376" s="37"/>
    </row>
    <row r="3377" spans="43:43" x14ac:dyDescent="0.25">
      <c r="AQ3377" s="37"/>
    </row>
    <row r="3378" spans="43:43" x14ac:dyDescent="0.25">
      <c r="AQ3378" s="37"/>
    </row>
    <row r="3379" spans="43:43" x14ac:dyDescent="0.25">
      <c r="AQ3379" s="37"/>
    </row>
    <row r="3380" spans="43:43" x14ac:dyDescent="0.25">
      <c r="AQ3380" s="37"/>
    </row>
    <row r="3381" spans="43:43" x14ac:dyDescent="0.25">
      <c r="AQ3381" s="37"/>
    </row>
    <row r="3382" spans="43:43" x14ac:dyDescent="0.25">
      <c r="AQ3382" s="37"/>
    </row>
    <row r="3383" spans="43:43" x14ac:dyDescent="0.25">
      <c r="AQ3383" s="37"/>
    </row>
    <row r="3384" spans="43:43" x14ac:dyDescent="0.25">
      <c r="AQ3384" s="37"/>
    </row>
    <row r="3385" spans="43:43" x14ac:dyDescent="0.25">
      <c r="AQ3385" s="37"/>
    </row>
    <row r="3386" spans="43:43" x14ac:dyDescent="0.25">
      <c r="AQ3386" s="37"/>
    </row>
    <row r="3387" spans="43:43" x14ac:dyDescent="0.25">
      <c r="AQ3387" s="37"/>
    </row>
    <row r="3388" spans="43:43" x14ac:dyDescent="0.25">
      <c r="AQ3388" s="37"/>
    </row>
    <row r="3389" spans="43:43" x14ac:dyDescent="0.25">
      <c r="AQ3389" s="37"/>
    </row>
    <row r="3390" spans="43:43" x14ac:dyDescent="0.25">
      <c r="AQ3390" s="37"/>
    </row>
    <row r="3391" spans="43:43" x14ac:dyDescent="0.25">
      <c r="AQ3391" s="37"/>
    </row>
    <row r="3392" spans="43:43" x14ac:dyDescent="0.25">
      <c r="AQ3392" s="37"/>
    </row>
    <row r="3393" spans="43:43" x14ac:dyDescent="0.25">
      <c r="AQ3393" s="37"/>
    </row>
    <row r="3394" spans="43:43" x14ac:dyDescent="0.25">
      <c r="AQ3394" s="37"/>
    </row>
    <row r="3395" spans="43:43" x14ac:dyDescent="0.25">
      <c r="AQ3395" s="37"/>
    </row>
    <row r="3396" spans="43:43" x14ac:dyDescent="0.25">
      <c r="AQ3396" s="37"/>
    </row>
    <row r="3397" spans="43:43" x14ac:dyDescent="0.25">
      <c r="AQ3397" s="37"/>
    </row>
    <row r="3398" spans="43:43" x14ac:dyDescent="0.25">
      <c r="AQ3398" s="37"/>
    </row>
    <row r="3399" spans="43:43" x14ac:dyDescent="0.25">
      <c r="AQ3399" s="37"/>
    </row>
    <row r="3400" spans="43:43" x14ac:dyDescent="0.25">
      <c r="AQ3400" s="37"/>
    </row>
    <row r="3401" spans="43:43" x14ac:dyDescent="0.25">
      <c r="AQ3401" s="37"/>
    </row>
    <row r="3402" spans="43:43" x14ac:dyDescent="0.25">
      <c r="AQ3402" s="37"/>
    </row>
    <row r="3403" spans="43:43" x14ac:dyDescent="0.25">
      <c r="AQ3403" s="37"/>
    </row>
    <row r="3404" spans="43:43" x14ac:dyDescent="0.25">
      <c r="AQ3404" s="37"/>
    </row>
    <row r="3405" spans="43:43" x14ac:dyDescent="0.25">
      <c r="AQ3405" s="37"/>
    </row>
    <row r="3406" spans="43:43" x14ac:dyDescent="0.25">
      <c r="AQ3406" s="37"/>
    </row>
    <row r="3407" spans="43:43" x14ac:dyDescent="0.25">
      <c r="AQ3407" s="37"/>
    </row>
    <row r="3408" spans="43:43" x14ac:dyDescent="0.25">
      <c r="AQ3408" s="37"/>
    </row>
    <row r="3409" spans="43:43" x14ac:dyDescent="0.25">
      <c r="AQ3409" s="37"/>
    </row>
    <row r="3410" spans="43:43" x14ac:dyDescent="0.25">
      <c r="AQ3410" s="37"/>
    </row>
    <row r="3411" spans="43:43" x14ac:dyDescent="0.25">
      <c r="AQ3411" s="37"/>
    </row>
    <row r="3412" spans="43:43" x14ac:dyDescent="0.25">
      <c r="AQ3412" s="37"/>
    </row>
    <row r="3413" spans="43:43" x14ac:dyDescent="0.25">
      <c r="AQ3413" s="37"/>
    </row>
    <row r="3414" spans="43:43" x14ac:dyDescent="0.25">
      <c r="AQ3414" s="37"/>
    </row>
    <row r="3415" spans="43:43" x14ac:dyDescent="0.25">
      <c r="AQ3415" s="37"/>
    </row>
    <row r="3416" spans="43:43" x14ac:dyDescent="0.25">
      <c r="AQ3416" s="37"/>
    </row>
    <row r="3417" spans="43:43" x14ac:dyDescent="0.25">
      <c r="AQ3417" s="37"/>
    </row>
    <row r="3418" spans="43:43" x14ac:dyDescent="0.25">
      <c r="AQ3418" s="37"/>
    </row>
    <row r="3419" spans="43:43" x14ac:dyDescent="0.25">
      <c r="AQ3419" s="37"/>
    </row>
    <row r="3420" spans="43:43" x14ac:dyDescent="0.25">
      <c r="AQ3420" s="37"/>
    </row>
    <row r="3421" spans="43:43" x14ac:dyDescent="0.25">
      <c r="AQ3421" s="37"/>
    </row>
    <row r="3422" spans="43:43" x14ac:dyDescent="0.25">
      <c r="AQ3422" s="37"/>
    </row>
    <row r="3423" spans="43:43" x14ac:dyDescent="0.25">
      <c r="AQ3423" s="37"/>
    </row>
    <row r="3424" spans="43:43" x14ac:dyDescent="0.25">
      <c r="AQ3424" s="37"/>
    </row>
    <row r="3425" spans="43:43" x14ac:dyDescent="0.25">
      <c r="AQ3425" s="37"/>
    </row>
    <row r="3426" spans="43:43" x14ac:dyDescent="0.25">
      <c r="AQ3426" s="37"/>
    </row>
    <row r="3427" spans="43:43" x14ac:dyDescent="0.25">
      <c r="AQ3427" s="37"/>
    </row>
    <row r="3428" spans="43:43" x14ac:dyDescent="0.25">
      <c r="AQ3428" s="37"/>
    </row>
    <row r="3429" spans="43:43" x14ac:dyDescent="0.25">
      <c r="AQ3429" s="37"/>
    </row>
    <row r="3430" spans="43:43" x14ac:dyDescent="0.25">
      <c r="AQ3430" s="37"/>
    </row>
    <row r="3431" spans="43:43" x14ac:dyDescent="0.25">
      <c r="AQ3431" s="37"/>
    </row>
    <row r="3432" spans="43:43" x14ac:dyDescent="0.25">
      <c r="AQ3432" s="37"/>
    </row>
    <row r="3433" spans="43:43" x14ac:dyDescent="0.25">
      <c r="AQ3433" s="37"/>
    </row>
    <row r="3434" spans="43:43" x14ac:dyDescent="0.25">
      <c r="AQ3434" s="37"/>
    </row>
    <row r="3435" spans="43:43" x14ac:dyDescent="0.25">
      <c r="AQ3435" s="37"/>
    </row>
    <row r="3436" spans="43:43" x14ac:dyDescent="0.25">
      <c r="AQ3436" s="37"/>
    </row>
    <row r="3437" spans="43:43" x14ac:dyDescent="0.25">
      <c r="AQ3437" s="37"/>
    </row>
    <row r="3438" spans="43:43" x14ac:dyDescent="0.25">
      <c r="AQ3438" s="37"/>
    </row>
    <row r="3439" spans="43:43" x14ac:dyDescent="0.25">
      <c r="AQ3439" s="37"/>
    </row>
    <row r="3440" spans="43:43" x14ac:dyDescent="0.25">
      <c r="AQ3440" s="37"/>
    </row>
    <row r="3441" spans="43:43" x14ac:dyDescent="0.25">
      <c r="AQ3441" s="37"/>
    </row>
    <row r="3442" spans="43:43" x14ac:dyDescent="0.25">
      <c r="AQ3442" s="37"/>
    </row>
    <row r="3443" spans="43:43" x14ac:dyDescent="0.25">
      <c r="AQ3443" s="37"/>
    </row>
    <row r="3444" spans="43:43" x14ac:dyDescent="0.25">
      <c r="AQ3444" s="37"/>
    </row>
    <row r="3445" spans="43:43" x14ac:dyDescent="0.25">
      <c r="AQ3445" s="37"/>
    </row>
    <row r="3446" spans="43:43" x14ac:dyDescent="0.25">
      <c r="AQ3446" s="37"/>
    </row>
    <row r="3447" spans="43:43" x14ac:dyDescent="0.25">
      <c r="AQ3447" s="37"/>
    </row>
    <row r="3448" spans="43:43" x14ac:dyDescent="0.25">
      <c r="AQ3448" s="37"/>
    </row>
    <row r="3449" spans="43:43" x14ac:dyDescent="0.25">
      <c r="AQ3449" s="37"/>
    </row>
    <row r="3450" spans="43:43" x14ac:dyDescent="0.25">
      <c r="AQ3450" s="37"/>
    </row>
    <row r="3451" spans="43:43" x14ac:dyDescent="0.25">
      <c r="AQ3451" s="37"/>
    </row>
    <row r="3452" spans="43:43" x14ac:dyDescent="0.25">
      <c r="AQ3452" s="37"/>
    </row>
    <row r="3453" spans="43:43" x14ac:dyDescent="0.25">
      <c r="AQ3453" s="37"/>
    </row>
    <row r="3454" spans="43:43" x14ac:dyDescent="0.25">
      <c r="AQ3454" s="37"/>
    </row>
    <row r="3455" spans="43:43" x14ac:dyDescent="0.25">
      <c r="AQ3455" s="37"/>
    </row>
    <row r="3456" spans="43:43" x14ac:dyDescent="0.25">
      <c r="AQ3456" s="37"/>
    </row>
    <row r="3457" spans="43:43" x14ac:dyDescent="0.25">
      <c r="AQ3457" s="37"/>
    </row>
    <row r="3458" spans="43:43" x14ac:dyDescent="0.25">
      <c r="AQ3458" s="37"/>
    </row>
    <row r="3459" spans="43:43" x14ac:dyDescent="0.25">
      <c r="AQ3459" s="37"/>
    </row>
    <row r="3460" spans="43:43" x14ac:dyDescent="0.25">
      <c r="AQ3460" s="37"/>
    </row>
    <row r="3461" spans="43:43" x14ac:dyDescent="0.25">
      <c r="AQ3461" s="37"/>
    </row>
    <row r="3462" spans="43:43" x14ac:dyDescent="0.25">
      <c r="AQ3462" s="37"/>
    </row>
    <row r="3463" spans="43:43" x14ac:dyDescent="0.25">
      <c r="AQ3463" s="37"/>
    </row>
    <row r="3464" spans="43:43" x14ac:dyDescent="0.25">
      <c r="AQ3464" s="37"/>
    </row>
    <row r="3465" spans="43:43" x14ac:dyDescent="0.25">
      <c r="AQ3465" s="37"/>
    </row>
    <row r="3466" spans="43:43" x14ac:dyDescent="0.25">
      <c r="AQ3466" s="37"/>
    </row>
    <row r="3467" spans="43:43" x14ac:dyDescent="0.25">
      <c r="AQ3467" s="37"/>
    </row>
    <row r="3468" spans="43:43" x14ac:dyDescent="0.25">
      <c r="AQ3468" s="37"/>
    </row>
    <row r="3469" spans="43:43" x14ac:dyDescent="0.25">
      <c r="AQ3469" s="37"/>
    </row>
    <row r="3470" spans="43:43" x14ac:dyDescent="0.25">
      <c r="AQ3470" s="37"/>
    </row>
    <row r="3471" spans="43:43" x14ac:dyDescent="0.25">
      <c r="AQ3471" s="37"/>
    </row>
    <row r="3472" spans="43:43" x14ac:dyDescent="0.25">
      <c r="AQ3472" s="37"/>
    </row>
    <row r="3473" spans="43:43" x14ac:dyDescent="0.25">
      <c r="AQ3473" s="37"/>
    </row>
    <row r="3474" spans="43:43" x14ac:dyDescent="0.25">
      <c r="AQ3474" s="37"/>
    </row>
    <row r="3475" spans="43:43" x14ac:dyDescent="0.25">
      <c r="AQ3475" s="37"/>
    </row>
    <row r="3476" spans="43:43" x14ac:dyDescent="0.25">
      <c r="AQ3476" s="37"/>
    </row>
    <row r="3477" spans="43:43" x14ac:dyDescent="0.25">
      <c r="AQ3477" s="37"/>
    </row>
    <row r="3478" spans="43:43" x14ac:dyDescent="0.25">
      <c r="AQ3478" s="37"/>
    </row>
    <row r="3479" spans="43:43" x14ac:dyDescent="0.25">
      <c r="AQ3479" s="37"/>
    </row>
    <row r="3480" spans="43:43" x14ac:dyDescent="0.25">
      <c r="AQ3480" s="37"/>
    </row>
    <row r="3481" spans="43:43" x14ac:dyDescent="0.25">
      <c r="AQ3481" s="37"/>
    </row>
    <row r="3482" spans="43:43" x14ac:dyDescent="0.25">
      <c r="AQ3482" s="37"/>
    </row>
    <row r="3483" spans="43:43" x14ac:dyDescent="0.25">
      <c r="AQ3483" s="37"/>
    </row>
    <row r="3484" spans="43:43" x14ac:dyDescent="0.25">
      <c r="AQ3484" s="37"/>
    </row>
    <row r="3485" spans="43:43" x14ac:dyDescent="0.25">
      <c r="AQ3485" s="37"/>
    </row>
    <row r="3486" spans="43:43" x14ac:dyDescent="0.25">
      <c r="AQ3486" s="37"/>
    </row>
    <row r="3487" spans="43:43" x14ac:dyDescent="0.25">
      <c r="AQ3487" s="37"/>
    </row>
    <row r="3488" spans="43:43" x14ac:dyDescent="0.25">
      <c r="AQ3488" s="37"/>
    </row>
    <row r="3489" spans="43:43" x14ac:dyDescent="0.25">
      <c r="AQ3489" s="37"/>
    </row>
    <row r="3490" spans="43:43" x14ac:dyDescent="0.25">
      <c r="AQ3490" s="37"/>
    </row>
    <row r="3491" spans="43:43" x14ac:dyDescent="0.25">
      <c r="AQ3491" s="37"/>
    </row>
    <row r="3492" spans="43:43" x14ac:dyDescent="0.25">
      <c r="AQ3492" s="37"/>
    </row>
    <row r="3493" spans="43:43" x14ac:dyDescent="0.25">
      <c r="AQ3493" s="37"/>
    </row>
    <row r="3494" spans="43:43" x14ac:dyDescent="0.25">
      <c r="AQ3494" s="37"/>
    </row>
    <row r="3495" spans="43:43" x14ac:dyDescent="0.25">
      <c r="AQ3495" s="37"/>
    </row>
    <row r="3496" spans="43:43" x14ac:dyDescent="0.25">
      <c r="AQ3496" s="37"/>
    </row>
    <row r="3497" spans="43:43" x14ac:dyDescent="0.25">
      <c r="AQ3497" s="37"/>
    </row>
    <row r="3498" spans="43:43" x14ac:dyDescent="0.25">
      <c r="AQ3498" s="37"/>
    </row>
    <row r="3499" spans="43:43" x14ac:dyDescent="0.25">
      <c r="AQ3499" s="37"/>
    </row>
    <row r="3500" spans="43:43" x14ac:dyDescent="0.25">
      <c r="AQ3500" s="37"/>
    </row>
    <row r="3501" spans="43:43" x14ac:dyDescent="0.25">
      <c r="AQ3501" s="37"/>
    </row>
    <row r="3502" spans="43:43" x14ac:dyDescent="0.25">
      <c r="AQ3502" s="37"/>
    </row>
    <row r="3503" spans="43:43" x14ac:dyDescent="0.25">
      <c r="AQ3503" s="37"/>
    </row>
    <row r="3504" spans="43:43" x14ac:dyDescent="0.25">
      <c r="AQ3504" s="37"/>
    </row>
    <row r="3505" spans="43:43" x14ac:dyDescent="0.25">
      <c r="AQ3505" s="37"/>
    </row>
    <row r="3506" spans="43:43" x14ac:dyDescent="0.25">
      <c r="AQ3506" s="37"/>
    </row>
    <row r="3507" spans="43:43" x14ac:dyDescent="0.25">
      <c r="AQ3507" s="37"/>
    </row>
    <row r="3508" spans="43:43" x14ac:dyDescent="0.25">
      <c r="AQ3508" s="37"/>
    </row>
    <row r="3509" spans="43:43" x14ac:dyDescent="0.25">
      <c r="AQ3509" s="37"/>
    </row>
    <row r="3510" spans="43:43" x14ac:dyDescent="0.25">
      <c r="AQ3510" s="37"/>
    </row>
    <row r="3511" spans="43:43" x14ac:dyDescent="0.25">
      <c r="AQ3511" s="37"/>
    </row>
    <row r="3512" spans="43:43" x14ac:dyDescent="0.25">
      <c r="AQ3512" s="37"/>
    </row>
    <row r="3513" spans="43:43" x14ac:dyDescent="0.25">
      <c r="AQ3513" s="37"/>
    </row>
    <row r="3514" spans="43:43" x14ac:dyDescent="0.25">
      <c r="AQ3514" s="37"/>
    </row>
    <row r="3515" spans="43:43" x14ac:dyDescent="0.25">
      <c r="AQ3515" s="37"/>
    </row>
    <row r="3516" spans="43:43" x14ac:dyDescent="0.25">
      <c r="AQ3516" s="37"/>
    </row>
    <row r="3517" spans="43:43" x14ac:dyDescent="0.25">
      <c r="AQ3517" s="37"/>
    </row>
    <row r="3518" spans="43:43" x14ac:dyDescent="0.25">
      <c r="AQ3518" s="37"/>
    </row>
    <row r="3519" spans="43:43" x14ac:dyDescent="0.25">
      <c r="AQ3519" s="37"/>
    </row>
    <row r="3520" spans="43:43" x14ac:dyDescent="0.25">
      <c r="AQ3520" s="37"/>
    </row>
    <row r="3521" spans="43:43" x14ac:dyDescent="0.25">
      <c r="AQ3521" s="37"/>
    </row>
    <row r="3522" spans="43:43" x14ac:dyDescent="0.25">
      <c r="AQ3522" s="37"/>
    </row>
    <row r="3523" spans="43:43" x14ac:dyDescent="0.25">
      <c r="AQ3523" s="37"/>
    </row>
    <row r="3524" spans="43:43" x14ac:dyDescent="0.25">
      <c r="AQ3524" s="37"/>
    </row>
    <row r="3525" spans="43:43" x14ac:dyDescent="0.25">
      <c r="AQ3525" s="37"/>
    </row>
    <row r="3526" spans="43:43" x14ac:dyDescent="0.25">
      <c r="AQ3526" s="37"/>
    </row>
    <row r="3527" spans="43:43" x14ac:dyDescent="0.25">
      <c r="AQ3527" s="37"/>
    </row>
    <row r="3528" spans="43:43" x14ac:dyDescent="0.25">
      <c r="AQ3528" s="37"/>
    </row>
    <row r="3529" spans="43:43" x14ac:dyDescent="0.25">
      <c r="AQ3529" s="37"/>
    </row>
    <row r="3530" spans="43:43" x14ac:dyDescent="0.25">
      <c r="AQ3530" s="37"/>
    </row>
    <row r="3531" spans="43:43" x14ac:dyDescent="0.25">
      <c r="AQ3531" s="37"/>
    </row>
    <row r="3532" spans="43:43" x14ac:dyDescent="0.25">
      <c r="AQ3532" s="37"/>
    </row>
    <row r="3533" spans="43:43" x14ac:dyDescent="0.25">
      <c r="AQ3533" s="37"/>
    </row>
    <row r="3534" spans="43:43" x14ac:dyDescent="0.25">
      <c r="AQ3534" s="37"/>
    </row>
    <row r="3535" spans="43:43" x14ac:dyDescent="0.25">
      <c r="AQ3535" s="37"/>
    </row>
    <row r="3536" spans="43:43" x14ac:dyDescent="0.25">
      <c r="AQ3536" s="37"/>
    </row>
    <row r="3537" spans="43:43" x14ac:dyDescent="0.25">
      <c r="AQ3537" s="37"/>
    </row>
    <row r="3538" spans="43:43" x14ac:dyDescent="0.25">
      <c r="AQ3538" s="37"/>
    </row>
    <row r="3539" spans="43:43" x14ac:dyDescent="0.25">
      <c r="AQ3539" s="37"/>
    </row>
    <row r="3540" spans="43:43" x14ac:dyDescent="0.25">
      <c r="AQ3540" s="37"/>
    </row>
    <row r="3541" spans="43:43" x14ac:dyDescent="0.25">
      <c r="AQ3541" s="37"/>
    </row>
    <row r="3542" spans="43:43" x14ac:dyDescent="0.25">
      <c r="AQ3542" s="37"/>
    </row>
    <row r="3543" spans="43:43" x14ac:dyDescent="0.25">
      <c r="AQ3543" s="37"/>
    </row>
    <row r="3544" spans="43:43" x14ac:dyDescent="0.25">
      <c r="AQ3544" s="37"/>
    </row>
    <row r="3545" spans="43:43" x14ac:dyDescent="0.25">
      <c r="AQ3545" s="37"/>
    </row>
    <row r="3546" spans="43:43" x14ac:dyDescent="0.25">
      <c r="AQ3546" s="37"/>
    </row>
    <row r="3547" spans="43:43" x14ac:dyDescent="0.25">
      <c r="AQ3547" s="37"/>
    </row>
    <row r="3548" spans="43:43" x14ac:dyDescent="0.25">
      <c r="AQ3548" s="37"/>
    </row>
    <row r="3549" spans="43:43" x14ac:dyDescent="0.25">
      <c r="AQ3549" s="37"/>
    </row>
    <row r="3550" spans="43:43" x14ac:dyDescent="0.25">
      <c r="AQ3550" s="37"/>
    </row>
    <row r="3551" spans="43:43" x14ac:dyDescent="0.25">
      <c r="AQ3551" s="37"/>
    </row>
    <row r="3552" spans="43:43" x14ac:dyDescent="0.25">
      <c r="AQ3552" s="37"/>
    </row>
    <row r="3553" spans="43:43" x14ac:dyDescent="0.25">
      <c r="AQ3553" s="37"/>
    </row>
    <row r="3554" spans="43:43" x14ac:dyDescent="0.25">
      <c r="AQ3554" s="37"/>
    </row>
    <row r="3555" spans="43:43" x14ac:dyDescent="0.25">
      <c r="AQ3555" s="37"/>
    </row>
    <row r="3556" spans="43:43" x14ac:dyDescent="0.25">
      <c r="AQ3556" s="37"/>
    </row>
    <row r="3557" spans="43:43" x14ac:dyDescent="0.25">
      <c r="AQ3557" s="37"/>
    </row>
    <row r="3558" spans="43:43" x14ac:dyDescent="0.25">
      <c r="AQ3558" s="37"/>
    </row>
    <row r="3559" spans="43:43" x14ac:dyDescent="0.25">
      <c r="AQ3559" s="37"/>
    </row>
    <row r="3560" spans="43:43" x14ac:dyDescent="0.25">
      <c r="AQ3560" s="37"/>
    </row>
    <row r="3561" spans="43:43" x14ac:dyDescent="0.25">
      <c r="AQ3561" s="37"/>
    </row>
    <row r="3562" spans="43:43" x14ac:dyDescent="0.25">
      <c r="AQ3562" s="37"/>
    </row>
    <row r="3563" spans="43:43" x14ac:dyDescent="0.25">
      <c r="AQ3563" s="37"/>
    </row>
    <row r="3564" spans="43:43" x14ac:dyDescent="0.25">
      <c r="AQ3564" s="37"/>
    </row>
    <row r="3565" spans="43:43" x14ac:dyDescent="0.25">
      <c r="AQ3565" s="37"/>
    </row>
    <row r="3566" spans="43:43" x14ac:dyDescent="0.25">
      <c r="AQ3566" s="37"/>
    </row>
    <row r="3567" spans="43:43" x14ac:dyDescent="0.25">
      <c r="AQ3567" s="37"/>
    </row>
    <row r="3568" spans="43:43" x14ac:dyDescent="0.25">
      <c r="AQ3568" s="37"/>
    </row>
    <row r="3569" spans="43:43" x14ac:dyDescent="0.25">
      <c r="AQ3569" s="37"/>
    </row>
    <row r="3570" spans="43:43" x14ac:dyDescent="0.25">
      <c r="AQ3570" s="37"/>
    </row>
    <row r="3571" spans="43:43" x14ac:dyDescent="0.25">
      <c r="AQ3571" s="37"/>
    </row>
    <row r="3572" spans="43:43" x14ac:dyDescent="0.25">
      <c r="AQ3572" s="37"/>
    </row>
    <row r="3573" spans="43:43" x14ac:dyDescent="0.25">
      <c r="AQ3573" s="37"/>
    </row>
    <row r="3574" spans="43:43" x14ac:dyDescent="0.25">
      <c r="AQ3574" s="37"/>
    </row>
    <row r="3575" spans="43:43" x14ac:dyDescent="0.25">
      <c r="AQ3575" s="37"/>
    </row>
    <row r="3576" spans="43:43" x14ac:dyDescent="0.25">
      <c r="AQ3576" s="37"/>
    </row>
    <row r="3577" spans="43:43" x14ac:dyDescent="0.25">
      <c r="AQ3577" s="37"/>
    </row>
    <row r="3578" spans="43:43" x14ac:dyDescent="0.25">
      <c r="AQ3578" s="37"/>
    </row>
    <row r="3579" spans="43:43" x14ac:dyDescent="0.25">
      <c r="AQ3579" s="37"/>
    </row>
    <row r="3580" spans="43:43" x14ac:dyDescent="0.25">
      <c r="AQ3580" s="37"/>
    </row>
    <row r="3581" spans="43:43" x14ac:dyDescent="0.25">
      <c r="AQ3581" s="37"/>
    </row>
    <row r="3582" spans="43:43" x14ac:dyDescent="0.25">
      <c r="AQ3582" s="37"/>
    </row>
    <row r="3583" spans="43:43" x14ac:dyDescent="0.25">
      <c r="AQ3583" s="37"/>
    </row>
    <row r="3584" spans="43:43" x14ac:dyDescent="0.25">
      <c r="AQ3584" s="37"/>
    </row>
    <row r="3585" spans="43:43" x14ac:dyDescent="0.25">
      <c r="AQ3585" s="37"/>
    </row>
    <row r="3586" spans="43:43" x14ac:dyDescent="0.25">
      <c r="AQ3586" s="37"/>
    </row>
    <row r="3587" spans="43:43" x14ac:dyDescent="0.25">
      <c r="AQ3587" s="37"/>
    </row>
    <row r="3588" spans="43:43" x14ac:dyDescent="0.25">
      <c r="AQ3588" s="37"/>
    </row>
    <row r="3589" spans="43:43" x14ac:dyDescent="0.25">
      <c r="AQ3589" s="37"/>
    </row>
    <row r="3590" spans="43:43" x14ac:dyDescent="0.25">
      <c r="AQ3590" s="37"/>
    </row>
    <row r="3591" spans="43:43" x14ac:dyDescent="0.25">
      <c r="AQ3591" s="37"/>
    </row>
    <row r="3592" spans="43:43" x14ac:dyDescent="0.25">
      <c r="AQ3592" s="37"/>
    </row>
    <row r="3593" spans="43:43" x14ac:dyDescent="0.25">
      <c r="AQ3593" s="37"/>
    </row>
    <row r="3594" spans="43:43" x14ac:dyDescent="0.25">
      <c r="AQ3594" s="37"/>
    </row>
    <row r="3595" spans="43:43" x14ac:dyDescent="0.25">
      <c r="AQ3595" s="37"/>
    </row>
    <row r="3596" spans="43:43" x14ac:dyDescent="0.25">
      <c r="AQ3596" s="37"/>
    </row>
    <row r="3597" spans="43:43" x14ac:dyDescent="0.25">
      <c r="AQ3597" s="37"/>
    </row>
    <row r="3598" spans="43:43" x14ac:dyDescent="0.25">
      <c r="AQ3598" s="37"/>
    </row>
    <row r="3599" spans="43:43" x14ac:dyDescent="0.25">
      <c r="AQ3599" s="37"/>
    </row>
    <row r="3600" spans="43:43" x14ac:dyDescent="0.25">
      <c r="AQ3600" s="37"/>
    </row>
    <row r="3601" spans="43:43" x14ac:dyDescent="0.25">
      <c r="AQ3601" s="37"/>
    </row>
    <row r="3602" spans="43:43" x14ac:dyDescent="0.25">
      <c r="AQ3602" s="37"/>
    </row>
    <row r="3603" spans="43:43" x14ac:dyDescent="0.25">
      <c r="AQ3603" s="37"/>
    </row>
    <row r="3604" spans="43:43" x14ac:dyDescent="0.25">
      <c r="AQ3604" s="37"/>
    </row>
    <row r="3605" spans="43:43" x14ac:dyDescent="0.25">
      <c r="AQ3605" s="37"/>
    </row>
    <row r="3606" spans="43:43" x14ac:dyDescent="0.25">
      <c r="AQ3606" s="37"/>
    </row>
    <row r="3607" spans="43:43" x14ac:dyDescent="0.25">
      <c r="AQ3607" s="37"/>
    </row>
    <row r="3608" spans="43:43" x14ac:dyDescent="0.25">
      <c r="AQ3608" s="37"/>
    </row>
    <row r="3609" spans="43:43" x14ac:dyDescent="0.25">
      <c r="AQ3609" s="37"/>
    </row>
    <row r="3610" spans="43:43" x14ac:dyDescent="0.25">
      <c r="AQ3610" s="37"/>
    </row>
    <row r="3611" spans="43:43" x14ac:dyDescent="0.25">
      <c r="AQ3611" s="37"/>
    </row>
    <row r="3612" spans="43:43" x14ac:dyDescent="0.25">
      <c r="AQ3612" s="37"/>
    </row>
    <row r="3613" spans="43:43" x14ac:dyDescent="0.25">
      <c r="AQ3613" s="37"/>
    </row>
    <row r="3614" spans="43:43" x14ac:dyDescent="0.25">
      <c r="AQ3614" s="37"/>
    </row>
    <row r="3615" spans="43:43" x14ac:dyDescent="0.25">
      <c r="AQ3615" s="37"/>
    </row>
    <row r="3616" spans="43:43" x14ac:dyDescent="0.25">
      <c r="AQ3616" s="37"/>
    </row>
    <row r="3617" spans="43:43" x14ac:dyDescent="0.25">
      <c r="AQ3617" s="37"/>
    </row>
    <row r="3618" spans="43:43" x14ac:dyDescent="0.25">
      <c r="AQ3618" s="37"/>
    </row>
    <row r="3619" spans="43:43" x14ac:dyDescent="0.25">
      <c r="AQ3619" s="37"/>
    </row>
    <row r="3620" spans="43:43" x14ac:dyDescent="0.25">
      <c r="AQ3620" s="37"/>
    </row>
    <row r="3621" spans="43:43" x14ac:dyDescent="0.25">
      <c r="AQ3621" s="37"/>
    </row>
    <row r="3622" spans="43:43" x14ac:dyDescent="0.25">
      <c r="AQ3622" s="37"/>
    </row>
    <row r="3623" spans="43:43" x14ac:dyDescent="0.25">
      <c r="AQ3623" s="37"/>
    </row>
    <row r="3624" spans="43:43" x14ac:dyDescent="0.25">
      <c r="AQ3624" s="37"/>
    </row>
    <row r="3625" spans="43:43" x14ac:dyDescent="0.25">
      <c r="AQ3625" s="37"/>
    </row>
    <row r="3626" spans="43:43" x14ac:dyDescent="0.25">
      <c r="AQ3626" s="37"/>
    </row>
    <row r="3627" spans="43:43" x14ac:dyDescent="0.25">
      <c r="AQ3627" s="37"/>
    </row>
    <row r="3628" spans="43:43" x14ac:dyDescent="0.25">
      <c r="AQ3628" s="37"/>
    </row>
    <row r="3629" spans="43:43" x14ac:dyDescent="0.25">
      <c r="AQ3629" s="37"/>
    </row>
    <row r="3630" spans="43:43" x14ac:dyDescent="0.25">
      <c r="AQ3630" s="37"/>
    </row>
    <row r="3631" spans="43:43" x14ac:dyDescent="0.25">
      <c r="AQ3631" s="37"/>
    </row>
    <row r="3632" spans="43:43" x14ac:dyDescent="0.25">
      <c r="AQ3632" s="37"/>
    </row>
    <row r="3633" spans="43:43" x14ac:dyDescent="0.25">
      <c r="AQ3633" s="37"/>
    </row>
    <row r="3634" spans="43:43" x14ac:dyDescent="0.25">
      <c r="AQ3634" s="37"/>
    </row>
    <row r="3635" spans="43:43" x14ac:dyDescent="0.25">
      <c r="AQ3635" s="37"/>
    </row>
    <row r="3636" spans="43:43" x14ac:dyDescent="0.25">
      <c r="AQ3636" s="37"/>
    </row>
    <row r="3637" spans="43:43" x14ac:dyDescent="0.25">
      <c r="AQ3637" s="37"/>
    </row>
    <row r="3638" spans="43:43" x14ac:dyDescent="0.25">
      <c r="AQ3638" s="37"/>
    </row>
    <row r="3639" spans="43:43" x14ac:dyDescent="0.25">
      <c r="AQ3639" s="37"/>
    </row>
    <row r="3640" spans="43:43" x14ac:dyDescent="0.25">
      <c r="AQ3640" s="37"/>
    </row>
    <row r="3641" spans="43:43" x14ac:dyDescent="0.25">
      <c r="AQ3641" s="37"/>
    </row>
    <row r="3642" spans="43:43" x14ac:dyDescent="0.25">
      <c r="AQ3642" s="37"/>
    </row>
    <row r="3643" spans="43:43" x14ac:dyDescent="0.25">
      <c r="AQ3643" s="37"/>
    </row>
    <row r="3644" spans="43:43" x14ac:dyDescent="0.25">
      <c r="AQ3644" s="37"/>
    </row>
    <row r="3645" spans="43:43" x14ac:dyDescent="0.25">
      <c r="AQ3645" s="37"/>
    </row>
    <row r="3646" spans="43:43" x14ac:dyDescent="0.25">
      <c r="AQ3646" s="37"/>
    </row>
    <row r="3647" spans="43:43" x14ac:dyDescent="0.25">
      <c r="AQ3647" s="37"/>
    </row>
    <row r="3648" spans="43:43" x14ac:dyDescent="0.25">
      <c r="AQ3648" s="37"/>
    </row>
    <row r="3649" spans="43:43" x14ac:dyDescent="0.25">
      <c r="AQ3649" s="37"/>
    </row>
    <row r="3650" spans="43:43" x14ac:dyDescent="0.25">
      <c r="AQ3650" s="37"/>
    </row>
    <row r="3651" spans="43:43" x14ac:dyDescent="0.25">
      <c r="AQ3651" s="37"/>
    </row>
    <row r="3652" spans="43:43" x14ac:dyDescent="0.25">
      <c r="AQ3652" s="37"/>
    </row>
    <row r="3653" spans="43:43" x14ac:dyDescent="0.25">
      <c r="AQ3653" s="37"/>
    </row>
    <row r="3654" spans="43:43" x14ac:dyDescent="0.25">
      <c r="AQ3654" s="37"/>
    </row>
    <row r="3655" spans="43:43" x14ac:dyDescent="0.25">
      <c r="AQ3655" s="37"/>
    </row>
    <row r="3656" spans="43:43" x14ac:dyDescent="0.25">
      <c r="AQ3656" s="37"/>
    </row>
    <row r="3657" spans="43:43" x14ac:dyDescent="0.25">
      <c r="AQ3657" s="37"/>
    </row>
    <row r="3658" spans="43:43" x14ac:dyDescent="0.25">
      <c r="AQ3658" s="37"/>
    </row>
    <row r="3659" spans="43:43" x14ac:dyDescent="0.25">
      <c r="AQ3659" s="37"/>
    </row>
    <row r="3660" spans="43:43" x14ac:dyDescent="0.25">
      <c r="AQ3660" s="37"/>
    </row>
    <row r="3661" spans="43:43" x14ac:dyDescent="0.25">
      <c r="AQ3661" s="37"/>
    </row>
    <row r="3662" spans="43:43" x14ac:dyDescent="0.25">
      <c r="AQ3662" s="37"/>
    </row>
    <row r="3663" spans="43:43" x14ac:dyDescent="0.25">
      <c r="AQ3663" s="37"/>
    </row>
    <row r="3664" spans="43:43" x14ac:dyDescent="0.25">
      <c r="AQ3664" s="37"/>
    </row>
    <row r="3665" spans="43:43" x14ac:dyDescent="0.25">
      <c r="AQ3665" s="37"/>
    </row>
    <row r="3666" spans="43:43" x14ac:dyDescent="0.25">
      <c r="AQ3666" s="37"/>
    </row>
    <row r="3667" spans="43:43" x14ac:dyDescent="0.25">
      <c r="AQ3667" s="37"/>
    </row>
    <row r="3668" spans="43:43" x14ac:dyDescent="0.25">
      <c r="AQ3668" s="37"/>
    </row>
    <row r="3669" spans="43:43" x14ac:dyDescent="0.25">
      <c r="AQ3669" s="37"/>
    </row>
    <row r="3670" spans="43:43" x14ac:dyDescent="0.25">
      <c r="AQ3670" s="37"/>
    </row>
    <row r="3671" spans="43:43" x14ac:dyDescent="0.25">
      <c r="AQ3671" s="37"/>
    </row>
    <row r="3672" spans="43:43" x14ac:dyDescent="0.25">
      <c r="AQ3672" s="37"/>
    </row>
    <row r="3673" spans="43:43" x14ac:dyDescent="0.25">
      <c r="AQ3673" s="37"/>
    </row>
    <row r="3674" spans="43:43" x14ac:dyDescent="0.25">
      <c r="AQ3674" s="37"/>
    </row>
    <row r="3675" spans="43:43" x14ac:dyDescent="0.25">
      <c r="AQ3675" s="37"/>
    </row>
    <row r="3676" spans="43:43" x14ac:dyDescent="0.25">
      <c r="AQ3676" s="37"/>
    </row>
    <row r="3677" spans="43:43" x14ac:dyDescent="0.25">
      <c r="AQ3677" s="37"/>
    </row>
    <row r="3678" spans="43:43" x14ac:dyDescent="0.25">
      <c r="AQ3678" s="37"/>
    </row>
    <row r="3679" spans="43:43" x14ac:dyDescent="0.25">
      <c r="AQ3679" s="37"/>
    </row>
    <row r="3680" spans="43:43" x14ac:dyDescent="0.25">
      <c r="AQ3680" s="37"/>
    </row>
    <row r="3681" spans="43:43" x14ac:dyDescent="0.25">
      <c r="AQ3681" s="37"/>
    </row>
    <row r="3682" spans="43:43" x14ac:dyDescent="0.25">
      <c r="AQ3682" s="37"/>
    </row>
    <row r="3683" spans="43:43" x14ac:dyDescent="0.25">
      <c r="AQ3683" s="37"/>
    </row>
    <row r="3684" spans="43:43" x14ac:dyDescent="0.25">
      <c r="AQ3684" s="37"/>
    </row>
    <row r="3685" spans="43:43" x14ac:dyDescent="0.25">
      <c r="AQ3685" s="37"/>
    </row>
    <row r="3686" spans="43:43" x14ac:dyDescent="0.25">
      <c r="AQ3686" s="37"/>
    </row>
    <row r="3687" spans="43:43" x14ac:dyDescent="0.25">
      <c r="AQ3687" s="37"/>
    </row>
    <row r="3688" spans="43:43" x14ac:dyDescent="0.25">
      <c r="AQ3688" s="37"/>
    </row>
    <row r="3689" spans="43:43" x14ac:dyDescent="0.25">
      <c r="AQ3689" s="37"/>
    </row>
    <row r="3690" spans="43:43" x14ac:dyDescent="0.25">
      <c r="AQ3690" s="37"/>
    </row>
    <row r="3691" spans="43:43" x14ac:dyDescent="0.25">
      <c r="AQ3691" s="37"/>
    </row>
    <row r="3692" spans="43:43" x14ac:dyDescent="0.25">
      <c r="AQ3692" s="37"/>
    </row>
    <row r="3693" spans="43:43" x14ac:dyDescent="0.25">
      <c r="AQ3693" s="37"/>
    </row>
    <row r="3694" spans="43:43" x14ac:dyDescent="0.25">
      <c r="AQ3694" s="37"/>
    </row>
    <row r="3695" spans="43:43" x14ac:dyDescent="0.25">
      <c r="AQ3695" s="37"/>
    </row>
    <row r="3696" spans="43:43" x14ac:dyDescent="0.25">
      <c r="AQ3696" s="37"/>
    </row>
    <row r="3697" spans="43:43" x14ac:dyDescent="0.25">
      <c r="AQ3697" s="37"/>
    </row>
    <row r="3698" spans="43:43" x14ac:dyDescent="0.25">
      <c r="AQ3698" s="37"/>
    </row>
    <row r="3699" spans="43:43" x14ac:dyDescent="0.25">
      <c r="AQ3699" s="37"/>
    </row>
    <row r="3700" spans="43:43" x14ac:dyDescent="0.25">
      <c r="AQ3700" s="37"/>
    </row>
    <row r="3701" spans="43:43" x14ac:dyDescent="0.25">
      <c r="AQ3701" s="37"/>
    </row>
    <row r="3702" spans="43:43" x14ac:dyDescent="0.25">
      <c r="AQ3702" s="37"/>
    </row>
    <row r="3703" spans="43:43" x14ac:dyDescent="0.25">
      <c r="AQ3703" s="37"/>
    </row>
    <row r="3704" spans="43:43" x14ac:dyDescent="0.25">
      <c r="AQ3704" s="37"/>
    </row>
    <row r="3705" spans="43:43" x14ac:dyDescent="0.25">
      <c r="AQ3705" s="37"/>
    </row>
    <row r="3706" spans="43:43" x14ac:dyDescent="0.25">
      <c r="AQ3706" s="37"/>
    </row>
    <row r="3707" spans="43:43" x14ac:dyDescent="0.25">
      <c r="AQ3707" s="37"/>
    </row>
    <row r="3708" spans="43:43" x14ac:dyDescent="0.25">
      <c r="AQ3708" s="37"/>
    </row>
    <row r="3709" spans="43:43" x14ac:dyDescent="0.25">
      <c r="AQ3709" s="37"/>
    </row>
    <row r="3710" spans="43:43" x14ac:dyDescent="0.25">
      <c r="AQ3710" s="37"/>
    </row>
    <row r="3711" spans="43:43" x14ac:dyDescent="0.25">
      <c r="AQ3711" s="37"/>
    </row>
    <row r="3712" spans="43:43" x14ac:dyDescent="0.25">
      <c r="AQ3712" s="37"/>
    </row>
    <row r="3713" spans="43:43" x14ac:dyDescent="0.25">
      <c r="AQ3713" s="37"/>
    </row>
    <row r="3714" spans="43:43" x14ac:dyDescent="0.25">
      <c r="AQ3714" s="37"/>
    </row>
    <row r="3715" spans="43:43" x14ac:dyDescent="0.25">
      <c r="AQ3715" s="37"/>
    </row>
    <row r="3716" spans="43:43" x14ac:dyDescent="0.25">
      <c r="AQ3716" s="37"/>
    </row>
    <row r="3717" spans="43:43" x14ac:dyDescent="0.25">
      <c r="AQ3717" s="37"/>
    </row>
    <row r="3718" spans="43:43" x14ac:dyDescent="0.25">
      <c r="AQ3718" s="37"/>
    </row>
    <row r="3719" spans="43:43" x14ac:dyDescent="0.25">
      <c r="AQ3719" s="37"/>
    </row>
    <row r="3720" spans="43:43" x14ac:dyDescent="0.25">
      <c r="AQ3720" s="37"/>
    </row>
    <row r="3721" spans="43:43" x14ac:dyDescent="0.25">
      <c r="AQ3721" s="37"/>
    </row>
    <row r="3722" spans="43:43" x14ac:dyDescent="0.25">
      <c r="AQ3722" s="37"/>
    </row>
    <row r="3723" spans="43:43" x14ac:dyDescent="0.25">
      <c r="AQ3723" s="37"/>
    </row>
    <row r="3724" spans="43:43" x14ac:dyDescent="0.25">
      <c r="AQ3724" s="37"/>
    </row>
    <row r="3725" spans="43:43" x14ac:dyDescent="0.25">
      <c r="AQ3725" s="37"/>
    </row>
    <row r="3726" spans="43:43" x14ac:dyDescent="0.25">
      <c r="AQ3726" s="37"/>
    </row>
    <row r="3727" spans="43:43" x14ac:dyDescent="0.25">
      <c r="AQ3727" s="37"/>
    </row>
    <row r="3728" spans="43:43" x14ac:dyDescent="0.25">
      <c r="AQ3728" s="37"/>
    </row>
    <row r="3729" spans="43:43" x14ac:dyDescent="0.25">
      <c r="AQ3729" s="37"/>
    </row>
    <row r="3730" spans="43:43" x14ac:dyDescent="0.25">
      <c r="AQ3730" s="37"/>
    </row>
    <row r="3731" spans="43:43" x14ac:dyDescent="0.25">
      <c r="AQ3731" s="37"/>
    </row>
    <row r="3732" spans="43:43" x14ac:dyDescent="0.25">
      <c r="AQ3732" s="37"/>
    </row>
    <row r="3733" spans="43:43" x14ac:dyDescent="0.25">
      <c r="AQ3733" s="37"/>
    </row>
    <row r="3734" spans="43:43" x14ac:dyDescent="0.25">
      <c r="AQ3734" s="37"/>
    </row>
    <row r="3735" spans="43:43" x14ac:dyDescent="0.25">
      <c r="AQ3735" s="37"/>
    </row>
    <row r="3736" spans="43:43" x14ac:dyDescent="0.25">
      <c r="AQ3736" s="37"/>
    </row>
    <row r="3737" spans="43:43" x14ac:dyDescent="0.25">
      <c r="AQ3737" s="37"/>
    </row>
    <row r="3738" spans="43:43" x14ac:dyDescent="0.25">
      <c r="AQ3738" s="37"/>
    </row>
    <row r="3739" spans="43:43" x14ac:dyDescent="0.25">
      <c r="AQ3739" s="37"/>
    </row>
    <row r="3740" spans="43:43" x14ac:dyDescent="0.25">
      <c r="AQ3740" s="37"/>
    </row>
    <row r="3741" spans="43:43" x14ac:dyDescent="0.25">
      <c r="AQ3741" s="37"/>
    </row>
    <row r="3742" spans="43:43" x14ac:dyDescent="0.25">
      <c r="AQ3742" s="37"/>
    </row>
    <row r="3743" spans="43:43" x14ac:dyDescent="0.25">
      <c r="AQ3743" s="37"/>
    </row>
    <row r="3744" spans="43:43" x14ac:dyDescent="0.25">
      <c r="AQ3744" s="37"/>
    </row>
    <row r="3745" spans="43:43" x14ac:dyDescent="0.25">
      <c r="AQ3745" s="37"/>
    </row>
    <row r="3746" spans="43:43" x14ac:dyDescent="0.25">
      <c r="AQ3746" s="37"/>
    </row>
    <row r="3747" spans="43:43" x14ac:dyDescent="0.25">
      <c r="AQ3747" s="37"/>
    </row>
    <row r="3748" spans="43:43" x14ac:dyDescent="0.25">
      <c r="AQ3748" s="37"/>
    </row>
    <row r="3749" spans="43:43" x14ac:dyDescent="0.25">
      <c r="AQ3749" s="37"/>
    </row>
    <row r="3750" spans="43:43" x14ac:dyDescent="0.25">
      <c r="AQ3750" s="37"/>
    </row>
    <row r="3751" spans="43:43" x14ac:dyDescent="0.25">
      <c r="AQ3751" s="37"/>
    </row>
    <row r="3752" spans="43:43" x14ac:dyDescent="0.25">
      <c r="AQ3752" s="37"/>
    </row>
    <row r="3753" spans="43:43" x14ac:dyDescent="0.25">
      <c r="AQ3753" s="37"/>
    </row>
    <row r="3754" spans="43:43" x14ac:dyDescent="0.25">
      <c r="AQ3754" s="37"/>
    </row>
    <row r="3755" spans="43:43" x14ac:dyDescent="0.25">
      <c r="AQ3755" s="37"/>
    </row>
    <row r="3756" spans="43:43" x14ac:dyDescent="0.25">
      <c r="AQ3756" s="37"/>
    </row>
    <row r="3757" spans="43:43" x14ac:dyDescent="0.25">
      <c r="AQ3757" s="37"/>
    </row>
    <row r="3758" spans="43:43" x14ac:dyDescent="0.25">
      <c r="AQ3758" s="37"/>
    </row>
    <row r="3759" spans="43:43" x14ac:dyDescent="0.25">
      <c r="AQ3759" s="37"/>
    </row>
    <row r="3760" spans="43:43" x14ac:dyDescent="0.25">
      <c r="AQ3760" s="37"/>
    </row>
    <row r="3761" spans="43:43" x14ac:dyDescent="0.25">
      <c r="AQ3761" s="37"/>
    </row>
    <row r="3762" spans="43:43" x14ac:dyDescent="0.25">
      <c r="AQ3762" s="37"/>
    </row>
    <row r="3763" spans="43:43" x14ac:dyDescent="0.25">
      <c r="AQ3763" s="37"/>
    </row>
    <row r="3764" spans="43:43" x14ac:dyDescent="0.25">
      <c r="AQ3764" s="37"/>
    </row>
    <row r="3765" spans="43:43" x14ac:dyDescent="0.25">
      <c r="AQ3765" s="37"/>
    </row>
    <row r="3766" spans="43:43" x14ac:dyDescent="0.25">
      <c r="AQ3766" s="37"/>
    </row>
    <row r="3767" spans="43:43" x14ac:dyDescent="0.25">
      <c r="AQ3767" s="37"/>
    </row>
    <row r="3768" spans="43:43" x14ac:dyDescent="0.25">
      <c r="AQ3768" s="37"/>
    </row>
    <row r="3769" spans="43:43" x14ac:dyDescent="0.25">
      <c r="AQ3769" s="37"/>
    </row>
    <row r="3770" spans="43:43" x14ac:dyDescent="0.25">
      <c r="AQ3770" s="37"/>
    </row>
    <row r="3771" spans="43:43" x14ac:dyDescent="0.25">
      <c r="AQ3771" s="37"/>
    </row>
    <row r="3772" spans="43:43" x14ac:dyDescent="0.25">
      <c r="AQ3772" s="37"/>
    </row>
    <row r="3773" spans="43:43" x14ac:dyDescent="0.25">
      <c r="AQ3773" s="37"/>
    </row>
    <row r="3774" spans="43:43" x14ac:dyDescent="0.25">
      <c r="AQ3774" s="37"/>
    </row>
    <row r="3775" spans="43:43" x14ac:dyDescent="0.25">
      <c r="AQ3775" s="37"/>
    </row>
    <row r="3776" spans="43:43" x14ac:dyDescent="0.25">
      <c r="AQ3776" s="37"/>
    </row>
    <row r="3777" spans="43:43" x14ac:dyDescent="0.25">
      <c r="AQ3777" s="37"/>
    </row>
    <row r="3778" spans="43:43" x14ac:dyDescent="0.25">
      <c r="AQ3778" s="37"/>
    </row>
    <row r="3779" spans="43:43" x14ac:dyDescent="0.25">
      <c r="AQ3779" s="37"/>
    </row>
    <row r="3780" spans="43:43" x14ac:dyDescent="0.25">
      <c r="AQ3780" s="37"/>
    </row>
    <row r="3781" spans="43:43" x14ac:dyDescent="0.25">
      <c r="AQ3781" s="37"/>
    </row>
    <row r="3782" spans="43:43" x14ac:dyDescent="0.25">
      <c r="AQ3782" s="37"/>
    </row>
    <row r="3783" spans="43:43" x14ac:dyDescent="0.25">
      <c r="AQ3783" s="37"/>
    </row>
    <row r="3784" spans="43:43" x14ac:dyDescent="0.25">
      <c r="AQ3784" s="37"/>
    </row>
    <row r="3785" spans="43:43" x14ac:dyDescent="0.25">
      <c r="AQ3785" s="37"/>
    </row>
    <row r="3786" spans="43:43" x14ac:dyDescent="0.25">
      <c r="AQ3786" s="37"/>
    </row>
    <row r="3787" spans="43:43" x14ac:dyDescent="0.25">
      <c r="AQ3787" s="37"/>
    </row>
    <row r="3788" spans="43:43" x14ac:dyDescent="0.25">
      <c r="AQ3788" s="37"/>
    </row>
    <row r="3789" spans="43:43" x14ac:dyDescent="0.25">
      <c r="AQ3789" s="37"/>
    </row>
    <row r="3790" spans="43:43" x14ac:dyDescent="0.25">
      <c r="AQ3790" s="37"/>
    </row>
    <row r="3791" spans="43:43" x14ac:dyDescent="0.25">
      <c r="AQ3791" s="37"/>
    </row>
    <row r="3792" spans="43:43" x14ac:dyDescent="0.25">
      <c r="AQ3792" s="37"/>
    </row>
    <row r="3793" spans="43:43" x14ac:dyDescent="0.25">
      <c r="AQ3793" s="37"/>
    </row>
    <row r="3794" spans="43:43" x14ac:dyDescent="0.25">
      <c r="AQ3794" s="37"/>
    </row>
    <row r="3795" spans="43:43" x14ac:dyDescent="0.25">
      <c r="AQ3795" s="37"/>
    </row>
    <row r="3796" spans="43:43" x14ac:dyDescent="0.25">
      <c r="AQ3796" s="37"/>
    </row>
    <row r="3797" spans="43:43" x14ac:dyDescent="0.25">
      <c r="AQ3797" s="37"/>
    </row>
    <row r="3798" spans="43:43" x14ac:dyDescent="0.25">
      <c r="AQ3798" s="37"/>
    </row>
    <row r="3799" spans="43:43" x14ac:dyDescent="0.25">
      <c r="AQ3799" s="37"/>
    </row>
    <row r="3800" spans="43:43" x14ac:dyDescent="0.25">
      <c r="AQ3800" s="37"/>
    </row>
    <row r="3801" spans="43:43" x14ac:dyDescent="0.25">
      <c r="AQ3801" s="37"/>
    </row>
    <row r="3802" spans="43:43" x14ac:dyDescent="0.25">
      <c r="AQ3802" s="37"/>
    </row>
    <row r="3803" spans="43:43" x14ac:dyDescent="0.25">
      <c r="AQ3803" s="37"/>
    </row>
    <row r="3804" spans="43:43" x14ac:dyDescent="0.25">
      <c r="AQ3804" s="37"/>
    </row>
    <row r="3805" spans="43:43" x14ac:dyDescent="0.25">
      <c r="AQ3805" s="37"/>
    </row>
    <row r="3806" spans="43:43" x14ac:dyDescent="0.25">
      <c r="AQ3806" s="37"/>
    </row>
    <row r="3807" spans="43:43" x14ac:dyDescent="0.25">
      <c r="AQ3807" s="37"/>
    </row>
    <row r="3808" spans="43:43" x14ac:dyDescent="0.25">
      <c r="AQ3808" s="37"/>
    </row>
    <row r="3809" spans="43:43" x14ac:dyDescent="0.25">
      <c r="AQ3809" s="37"/>
    </row>
    <row r="3810" spans="43:43" x14ac:dyDescent="0.25">
      <c r="AQ3810" s="37"/>
    </row>
    <row r="3811" spans="43:43" x14ac:dyDescent="0.25">
      <c r="AQ3811" s="37"/>
    </row>
    <row r="3812" spans="43:43" x14ac:dyDescent="0.25">
      <c r="AQ3812" s="37"/>
    </row>
    <row r="3813" spans="43:43" x14ac:dyDescent="0.25">
      <c r="AQ3813" s="37"/>
    </row>
    <row r="3814" spans="43:43" x14ac:dyDescent="0.25">
      <c r="AQ3814" s="37"/>
    </row>
    <row r="3815" spans="43:43" x14ac:dyDescent="0.25">
      <c r="AQ3815" s="37"/>
    </row>
    <row r="3816" spans="43:43" x14ac:dyDescent="0.25">
      <c r="AQ3816" s="37"/>
    </row>
    <row r="3817" spans="43:43" x14ac:dyDescent="0.25">
      <c r="AQ3817" s="37"/>
    </row>
    <row r="3818" spans="43:43" x14ac:dyDescent="0.25">
      <c r="AQ3818" s="37"/>
    </row>
    <row r="3819" spans="43:43" x14ac:dyDescent="0.25">
      <c r="AQ3819" s="37"/>
    </row>
    <row r="3820" spans="43:43" x14ac:dyDescent="0.25">
      <c r="AQ3820" s="37"/>
    </row>
    <row r="3821" spans="43:43" x14ac:dyDescent="0.25">
      <c r="AQ3821" s="37"/>
    </row>
    <row r="3822" spans="43:43" x14ac:dyDescent="0.25">
      <c r="AQ3822" s="37"/>
    </row>
    <row r="3823" spans="43:43" x14ac:dyDescent="0.25">
      <c r="AQ3823" s="37"/>
    </row>
    <row r="3824" spans="43:43" x14ac:dyDescent="0.25">
      <c r="AQ3824" s="37"/>
    </row>
    <row r="3825" spans="43:43" x14ac:dyDescent="0.25">
      <c r="AQ3825" s="37"/>
    </row>
    <row r="3826" spans="43:43" x14ac:dyDescent="0.25">
      <c r="AQ3826" s="37"/>
    </row>
    <row r="3827" spans="43:43" x14ac:dyDescent="0.25">
      <c r="AQ3827" s="37"/>
    </row>
    <row r="3828" spans="43:43" x14ac:dyDescent="0.25">
      <c r="AQ3828" s="37"/>
    </row>
    <row r="3829" spans="43:43" x14ac:dyDescent="0.25">
      <c r="AQ3829" s="37"/>
    </row>
    <row r="3830" spans="43:43" x14ac:dyDescent="0.25">
      <c r="AQ3830" s="37"/>
    </row>
    <row r="3831" spans="43:43" x14ac:dyDescent="0.25">
      <c r="AQ3831" s="37"/>
    </row>
    <row r="3832" spans="43:43" x14ac:dyDescent="0.25">
      <c r="AQ3832" s="37"/>
    </row>
    <row r="3833" spans="43:43" x14ac:dyDescent="0.25">
      <c r="AQ3833" s="37"/>
    </row>
    <row r="3834" spans="43:43" x14ac:dyDescent="0.25">
      <c r="AQ3834" s="37"/>
    </row>
    <row r="3835" spans="43:43" x14ac:dyDescent="0.25">
      <c r="AQ3835" s="37"/>
    </row>
    <row r="3836" spans="43:43" x14ac:dyDescent="0.25">
      <c r="AQ3836" s="37"/>
    </row>
    <row r="3837" spans="43:43" x14ac:dyDescent="0.25">
      <c r="AQ3837" s="37"/>
    </row>
    <row r="3838" spans="43:43" x14ac:dyDescent="0.25">
      <c r="AQ3838" s="37"/>
    </row>
    <row r="3839" spans="43:43" x14ac:dyDescent="0.25">
      <c r="AQ3839" s="37"/>
    </row>
    <row r="3840" spans="43:43" x14ac:dyDescent="0.25">
      <c r="AQ3840" s="37"/>
    </row>
    <row r="3841" spans="43:43" x14ac:dyDescent="0.25">
      <c r="AQ3841" s="37"/>
    </row>
    <row r="3842" spans="43:43" x14ac:dyDescent="0.25">
      <c r="AQ3842" s="37"/>
    </row>
    <row r="3843" spans="43:43" x14ac:dyDescent="0.25">
      <c r="AQ3843" s="37"/>
    </row>
    <row r="3844" spans="43:43" x14ac:dyDescent="0.25">
      <c r="AQ3844" s="37"/>
    </row>
    <row r="3845" spans="43:43" x14ac:dyDescent="0.25">
      <c r="AQ3845" s="37"/>
    </row>
    <row r="3846" spans="43:43" x14ac:dyDescent="0.25">
      <c r="AQ3846" s="37"/>
    </row>
    <row r="3847" spans="43:43" x14ac:dyDescent="0.25">
      <c r="AQ3847" s="37"/>
    </row>
    <row r="3848" spans="43:43" x14ac:dyDescent="0.25">
      <c r="AQ3848" s="37"/>
    </row>
    <row r="3849" spans="43:43" x14ac:dyDescent="0.25">
      <c r="AQ3849" s="37"/>
    </row>
    <row r="3850" spans="43:43" x14ac:dyDescent="0.25">
      <c r="AQ3850" s="37"/>
    </row>
    <row r="3851" spans="43:43" x14ac:dyDescent="0.25">
      <c r="AQ3851" s="37"/>
    </row>
    <row r="3852" spans="43:43" x14ac:dyDescent="0.25">
      <c r="AQ3852" s="37"/>
    </row>
    <row r="3853" spans="43:43" x14ac:dyDescent="0.25">
      <c r="AQ3853" s="37"/>
    </row>
    <row r="3854" spans="43:43" x14ac:dyDescent="0.25">
      <c r="AQ3854" s="37"/>
    </row>
    <row r="3855" spans="43:43" x14ac:dyDescent="0.25">
      <c r="AQ3855" s="37"/>
    </row>
    <row r="3856" spans="43:43" x14ac:dyDescent="0.25">
      <c r="AQ3856" s="37"/>
    </row>
    <row r="3857" spans="43:43" x14ac:dyDescent="0.25">
      <c r="AQ3857" s="37"/>
    </row>
    <row r="3858" spans="43:43" x14ac:dyDescent="0.25">
      <c r="AQ3858" s="37"/>
    </row>
    <row r="3859" spans="43:43" x14ac:dyDescent="0.25">
      <c r="AQ3859" s="37"/>
    </row>
    <row r="3860" spans="43:43" x14ac:dyDescent="0.25">
      <c r="AQ3860" s="37"/>
    </row>
    <row r="3861" spans="43:43" x14ac:dyDescent="0.25">
      <c r="AQ3861" s="37"/>
    </row>
    <row r="3862" spans="43:43" x14ac:dyDescent="0.25">
      <c r="AQ3862" s="37"/>
    </row>
    <row r="3863" spans="43:43" x14ac:dyDescent="0.25">
      <c r="AQ3863" s="37"/>
    </row>
    <row r="3864" spans="43:43" x14ac:dyDescent="0.25">
      <c r="AQ3864" s="37"/>
    </row>
    <row r="3865" spans="43:43" x14ac:dyDescent="0.25">
      <c r="AQ3865" s="37"/>
    </row>
    <row r="3866" spans="43:43" x14ac:dyDescent="0.25">
      <c r="AQ3866" s="37"/>
    </row>
    <row r="3867" spans="43:43" x14ac:dyDescent="0.25">
      <c r="AQ3867" s="37"/>
    </row>
    <row r="3868" spans="43:43" x14ac:dyDescent="0.25">
      <c r="AQ3868" s="37"/>
    </row>
    <row r="3869" spans="43:43" x14ac:dyDescent="0.25">
      <c r="AQ3869" s="37"/>
    </row>
    <row r="3870" spans="43:43" x14ac:dyDescent="0.25">
      <c r="AQ3870" s="37"/>
    </row>
    <row r="3871" spans="43:43" x14ac:dyDescent="0.25">
      <c r="AQ3871" s="37"/>
    </row>
    <row r="3872" spans="43:43" x14ac:dyDescent="0.25">
      <c r="AQ3872" s="37"/>
    </row>
    <row r="3873" spans="43:43" x14ac:dyDescent="0.25">
      <c r="AQ3873" s="37"/>
    </row>
    <row r="3874" spans="43:43" x14ac:dyDescent="0.25">
      <c r="AQ3874" s="37"/>
    </row>
    <row r="3875" spans="43:43" x14ac:dyDescent="0.25">
      <c r="AQ3875" s="37"/>
    </row>
    <row r="3876" spans="43:43" x14ac:dyDescent="0.25">
      <c r="AQ3876" s="37"/>
    </row>
    <row r="3877" spans="43:43" x14ac:dyDescent="0.25">
      <c r="AQ3877" s="37"/>
    </row>
    <row r="3878" spans="43:43" x14ac:dyDescent="0.25">
      <c r="AQ3878" s="37"/>
    </row>
    <row r="3879" spans="43:43" x14ac:dyDescent="0.25">
      <c r="AQ3879" s="37"/>
    </row>
    <row r="3880" spans="43:43" x14ac:dyDescent="0.25">
      <c r="AQ3880" s="37"/>
    </row>
    <row r="3881" spans="43:43" x14ac:dyDescent="0.25">
      <c r="AQ3881" s="37"/>
    </row>
    <row r="3882" spans="43:43" x14ac:dyDescent="0.25">
      <c r="AQ3882" s="37"/>
    </row>
    <row r="3883" spans="43:43" x14ac:dyDescent="0.25">
      <c r="AQ3883" s="37"/>
    </row>
    <row r="3884" spans="43:43" x14ac:dyDescent="0.25">
      <c r="AQ3884" s="37"/>
    </row>
    <row r="3885" spans="43:43" x14ac:dyDescent="0.25">
      <c r="AQ3885" s="37"/>
    </row>
    <row r="3886" spans="43:43" x14ac:dyDescent="0.25">
      <c r="AQ3886" s="37"/>
    </row>
    <row r="3887" spans="43:43" x14ac:dyDescent="0.25">
      <c r="AQ3887" s="37"/>
    </row>
    <row r="3888" spans="43:43" x14ac:dyDescent="0.25">
      <c r="AQ3888" s="37"/>
    </row>
    <row r="3889" spans="43:43" x14ac:dyDescent="0.25">
      <c r="AQ3889" s="37"/>
    </row>
    <row r="3890" spans="43:43" x14ac:dyDescent="0.25">
      <c r="AQ3890" s="37"/>
    </row>
    <row r="3891" spans="43:43" x14ac:dyDescent="0.25">
      <c r="AQ3891" s="37"/>
    </row>
    <row r="3892" spans="43:43" x14ac:dyDescent="0.25">
      <c r="AQ3892" s="37"/>
    </row>
    <row r="3893" spans="43:43" x14ac:dyDescent="0.25">
      <c r="AQ3893" s="37"/>
    </row>
    <row r="3894" spans="43:43" x14ac:dyDescent="0.25">
      <c r="AQ3894" s="37"/>
    </row>
    <row r="3895" spans="43:43" x14ac:dyDescent="0.25">
      <c r="AQ3895" s="37"/>
    </row>
    <row r="3896" spans="43:43" x14ac:dyDescent="0.25">
      <c r="AQ3896" s="37"/>
    </row>
    <row r="3897" spans="43:43" x14ac:dyDescent="0.25">
      <c r="AQ3897" s="37"/>
    </row>
    <row r="3898" spans="43:43" x14ac:dyDescent="0.25">
      <c r="AQ3898" s="37"/>
    </row>
    <row r="3899" spans="43:43" x14ac:dyDescent="0.25">
      <c r="AQ3899" s="37"/>
    </row>
    <row r="3900" spans="43:43" x14ac:dyDescent="0.25">
      <c r="AQ3900" s="37"/>
    </row>
    <row r="3901" spans="43:43" x14ac:dyDescent="0.25">
      <c r="AQ3901" s="37"/>
    </row>
    <row r="3902" spans="43:43" x14ac:dyDescent="0.25">
      <c r="AQ3902" s="37"/>
    </row>
    <row r="3903" spans="43:43" x14ac:dyDescent="0.25">
      <c r="AQ3903" s="37"/>
    </row>
    <row r="3904" spans="43:43" x14ac:dyDescent="0.25">
      <c r="AQ3904" s="37"/>
    </row>
    <row r="3905" spans="43:43" x14ac:dyDescent="0.25">
      <c r="AQ3905" s="37"/>
    </row>
    <row r="3906" spans="43:43" x14ac:dyDescent="0.25">
      <c r="AQ3906" s="37"/>
    </row>
    <row r="3907" spans="43:43" x14ac:dyDescent="0.25">
      <c r="AQ3907" s="37"/>
    </row>
    <row r="3908" spans="43:43" x14ac:dyDescent="0.25">
      <c r="AQ3908" s="37"/>
    </row>
    <row r="3909" spans="43:43" x14ac:dyDescent="0.25">
      <c r="AQ3909" s="37"/>
    </row>
    <row r="3910" spans="43:43" x14ac:dyDescent="0.25">
      <c r="AQ3910" s="37"/>
    </row>
    <row r="3911" spans="43:43" x14ac:dyDescent="0.25">
      <c r="AQ3911" s="37"/>
    </row>
    <row r="3912" spans="43:43" x14ac:dyDescent="0.25">
      <c r="AQ3912" s="37"/>
    </row>
    <row r="3913" spans="43:43" x14ac:dyDescent="0.25">
      <c r="AQ3913" s="37"/>
    </row>
    <row r="3914" spans="43:43" x14ac:dyDescent="0.25">
      <c r="AQ3914" s="37"/>
    </row>
    <row r="3915" spans="43:43" x14ac:dyDescent="0.25">
      <c r="AQ3915" s="37"/>
    </row>
    <row r="3916" spans="43:43" x14ac:dyDescent="0.25">
      <c r="AQ3916" s="37"/>
    </row>
    <row r="3917" spans="43:43" x14ac:dyDescent="0.25">
      <c r="AQ3917" s="37"/>
    </row>
    <row r="3918" spans="43:43" x14ac:dyDescent="0.25">
      <c r="AQ3918" s="37"/>
    </row>
    <row r="3919" spans="43:43" x14ac:dyDescent="0.25">
      <c r="AQ3919" s="37"/>
    </row>
    <row r="3920" spans="43:43" x14ac:dyDescent="0.25">
      <c r="AQ3920" s="37"/>
    </row>
    <row r="3921" spans="43:43" x14ac:dyDescent="0.25">
      <c r="AQ3921" s="37"/>
    </row>
    <row r="3922" spans="43:43" x14ac:dyDescent="0.25">
      <c r="AQ3922" s="37"/>
    </row>
    <row r="3923" spans="43:43" x14ac:dyDescent="0.25">
      <c r="AQ3923" s="37"/>
    </row>
    <row r="3924" spans="43:43" x14ac:dyDescent="0.25">
      <c r="AQ3924" s="37"/>
    </row>
    <row r="3925" spans="43:43" x14ac:dyDescent="0.25">
      <c r="AQ3925" s="37"/>
    </row>
    <row r="3926" spans="43:43" x14ac:dyDescent="0.25">
      <c r="AQ3926" s="37"/>
    </row>
    <row r="3927" spans="43:43" x14ac:dyDescent="0.25">
      <c r="AQ3927" s="37"/>
    </row>
    <row r="3928" spans="43:43" x14ac:dyDescent="0.25">
      <c r="AQ3928" s="37"/>
    </row>
    <row r="3929" spans="43:43" x14ac:dyDescent="0.25">
      <c r="AQ3929" s="37"/>
    </row>
    <row r="3930" spans="43:43" x14ac:dyDescent="0.25">
      <c r="AQ3930" s="37"/>
    </row>
    <row r="3931" spans="43:43" x14ac:dyDescent="0.25">
      <c r="AQ3931" s="37"/>
    </row>
    <row r="3932" spans="43:43" x14ac:dyDescent="0.25">
      <c r="AQ3932" s="37"/>
    </row>
    <row r="3933" spans="43:43" x14ac:dyDescent="0.25">
      <c r="AQ3933" s="37"/>
    </row>
    <row r="3934" spans="43:43" x14ac:dyDescent="0.25">
      <c r="AQ3934" s="37"/>
    </row>
    <row r="3935" spans="43:43" x14ac:dyDescent="0.25">
      <c r="AQ3935" s="37"/>
    </row>
    <row r="3936" spans="43:43" x14ac:dyDescent="0.25">
      <c r="AQ3936" s="37"/>
    </row>
    <row r="3937" spans="43:43" x14ac:dyDescent="0.25">
      <c r="AQ3937" s="37"/>
    </row>
    <row r="3938" spans="43:43" x14ac:dyDescent="0.25">
      <c r="AQ3938" s="37"/>
    </row>
    <row r="3939" spans="43:43" x14ac:dyDescent="0.25">
      <c r="AQ3939" s="37"/>
    </row>
    <row r="3940" spans="43:43" x14ac:dyDescent="0.25">
      <c r="AQ3940" s="37"/>
    </row>
    <row r="3941" spans="43:43" x14ac:dyDescent="0.25">
      <c r="AQ3941" s="37"/>
    </row>
    <row r="3942" spans="43:43" x14ac:dyDescent="0.25">
      <c r="AQ3942" s="37"/>
    </row>
    <row r="3943" spans="43:43" x14ac:dyDescent="0.25">
      <c r="AQ3943" s="37"/>
    </row>
    <row r="3944" spans="43:43" x14ac:dyDescent="0.25">
      <c r="AQ3944" s="37"/>
    </row>
    <row r="3945" spans="43:43" x14ac:dyDescent="0.25">
      <c r="AQ3945" s="37"/>
    </row>
    <row r="3946" spans="43:43" x14ac:dyDescent="0.25">
      <c r="AQ3946" s="37"/>
    </row>
    <row r="3947" spans="43:43" x14ac:dyDescent="0.25">
      <c r="AQ3947" s="37"/>
    </row>
    <row r="3948" spans="43:43" x14ac:dyDescent="0.25">
      <c r="AQ3948" s="37"/>
    </row>
    <row r="3949" spans="43:43" x14ac:dyDescent="0.25">
      <c r="AQ3949" s="37"/>
    </row>
    <row r="3950" spans="43:43" x14ac:dyDescent="0.25">
      <c r="AQ3950" s="37"/>
    </row>
    <row r="3951" spans="43:43" x14ac:dyDescent="0.25">
      <c r="AQ3951" s="37"/>
    </row>
    <row r="3952" spans="43:43" x14ac:dyDescent="0.25">
      <c r="AQ3952" s="37"/>
    </row>
    <row r="3953" spans="43:43" x14ac:dyDescent="0.25">
      <c r="AQ3953" s="37"/>
    </row>
    <row r="3954" spans="43:43" x14ac:dyDescent="0.25">
      <c r="AQ3954" s="37"/>
    </row>
    <row r="3955" spans="43:43" x14ac:dyDescent="0.25">
      <c r="AQ3955" s="37"/>
    </row>
    <row r="3956" spans="43:43" x14ac:dyDescent="0.25">
      <c r="AQ3956" s="37"/>
    </row>
    <row r="3957" spans="43:43" x14ac:dyDescent="0.25">
      <c r="AQ3957" s="37"/>
    </row>
    <row r="3958" spans="43:43" x14ac:dyDescent="0.25">
      <c r="AQ3958" s="37"/>
    </row>
    <row r="3959" spans="43:43" x14ac:dyDescent="0.25">
      <c r="AQ3959" s="37"/>
    </row>
    <row r="3960" spans="43:43" x14ac:dyDescent="0.25">
      <c r="AQ3960" s="37"/>
    </row>
    <row r="3961" spans="43:43" x14ac:dyDescent="0.25">
      <c r="AQ3961" s="37"/>
    </row>
    <row r="3962" spans="43:43" x14ac:dyDescent="0.25">
      <c r="AQ3962" s="37"/>
    </row>
    <row r="3963" spans="43:43" x14ac:dyDescent="0.25">
      <c r="AQ3963" s="37"/>
    </row>
    <row r="3964" spans="43:43" x14ac:dyDescent="0.25">
      <c r="AQ3964" s="37"/>
    </row>
    <row r="3965" spans="43:43" x14ac:dyDescent="0.25">
      <c r="AQ3965" s="37"/>
    </row>
    <row r="3966" spans="43:43" x14ac:dyDescent="0.25">
      <c r="AQ3966" s="37"/>
    </row>
    <row r="3967" spans="43:43" x14ac:dyDescent="0.25">
      <c r="AQ3967" s="37"/>
    </row>
    <row r="3968" spans="43:43" x14ac:dyDescent="0.25">
      <c r="AQ3968" s="37"/>
    </row>
    <row r="3969" spans="43:43" x14ac:dyDescent="0.25">
      <c r="AQ3969" s="37"/>
    </row>
    <row r="3970" spans="43:43" x14ac:dyDescent="0.25">
      <c r="AQ3970" s="37"/>
    </row>
    <row r="3971" spans="43:43" x14ac:dyDescent="0.25">
      <c r="AQ3971" s="37"/>
    </row>
    <row r="3972" spans="43:43" x14ac:dyDescent="0.25">
      <c r="AQ3972" s="37"/>
    </row>
    <row r="3973" spans="43:43" x14ac:dyDescent="0.25">
      <c r="AQ3973" s="37"/>
    </row>
    <row r="3974" spans="43:43" x14ac:dyDescent="0.25">
      <c r="AQ3974" s="37"/>
    </row>
    <row r="3975" spans="43:43" x14ac:dyDescent="0.25">
      <c r="AQ3975" s="37"/>
    </row>
    <row r="3976" spans="43:43" x14ac:dyDescent="0.25">
      <c r="AQ3976" s="37"/>
    </row>
    <row r="3977" spans="43:43" x14ac:dyDescent="0.25">
      <c r="AQ3977" s="37"/>
    </row>
    <row r="3978" spans="43:43" x14ac:dyDescent="0.25">
      <c r="AQ3978" s="37"/>
    </row>
    <row r="3979" spans="43:43" x14ac:dyDescent="0.25">
      <c r="AQ3979" s="37"/>
    </row>
    <row r="3980" spans="43:43" x14ac:dyDescent="0.25">
      <c r="AQ3980" s="37"/>
    </row>
    <row r="3981" spans="43:43" x14ac:dyDescent="0.25">
      <c r="AQ3981" s="37"/>
    </row>
    <row r="3982" spans="43:43" x14ac:dyDescent="0.25">
      <c r="AQ3982" s="37"/>
    </row>
    <row r="3983" spans="43:43" x14ac:dyDescent="0.25">
      <c r="AQ3983" s="37"/>
    </row>
    <row r="3984" spans="43:43" x14ac:dyDescent="0.25">
      <c r="AQ3984" s="37"/>
    </row>
    <row r="3985" spans="43:43" x14ac:dyDescent="0.25">
      <c r="AQ3985" s="37"/>
    </row>
    <row r="3986" spans="43:43" x14ac:dyDescent="0.25">
      <c r="AQ3986" s="37"/>
    </row>
    <row r="3987" spans="43:43" x14ac:dyDescent="0.25">
      <c r="AQ3987" s="37"/>
    </row>
    <row r="3988" spans="43:43" x14ac:dyDescent="0.25">
      <c r="AQ3988" s="37"/>
    </row>
    <row r="3989" spans="43:43" x14ac:dyDescent="0.25">
      <c r="AQ3989" s="37"/>
    </row>
    <row r="3990" spans="43:43" x14ac:dyDescent="0.25">
      <c r="AQ3990" s="37"/>
    </row>
    <row r="3991" spans="43:43" x14ac:dyDescent="0.25">
      <c r="AQ3991" s="37"/>
    </row>
    <row r="3992" spans="43:43" x14ac:dyDescent="0.25">
      <c r="AQ3992" s="37"/>
    </row>
    <row r="3993" spans="43:43" x14ac:dyDescent="0.25">
      <c r="AQ3993" s="37"/>
    </row>
    <row r="3994" spans="43:43" x14ac:dyDescent="0.25">
      <c r="AQ3994" s="37"/>
    </row>
    <row r="3995" spans="43:43" x14ac:dyDescent="0.25">
      <c r="AQ3995" s="37"/>
    </row>
    <row r="3996" spans="43:43" x14ac:dyDescent="0.25">
      <c r="AQ3996" s="37"/>
    </row>
    <row r="3997" spans="43:43" x14ac:dyDescent="0.25">
      <c r="AQ3997" s="37"/>
    </row>
    <row r="3998" spans="43:43" x14ac:dyDescent="0.25">
      <c r="AQ3998" s="37"/>
    </row>
    <row r="3999" spans="43:43" x14ac:dyDescent="0.25">
      <c r="AQ3999" s="37"/>
    </row>
    <row r="4000" spans="43:43" x14ac:dyDescent="0.25">
      <c r="AQ4000" s="37"/>
    </row>
    <row r="4001" spans="43:43" x14ac:dyDescent="0.25">
      <c r="AQ4001" s="37"/>
    </row>
    <row r="4002" spans="43:43" x14ac:dyDescent="0.25">
      <c r="AQ4002" s="37"/>
    </row>
    <row r="4003" spans="43:43" x14ac:dyDescent="0.25">
      <c r="AQ4003" s="37"/>
    </row>
    <row r="4004" spans="43:43" x14ac:dyDescent="0.25">
      <c r="AQ4004" s="37"/>
    </row>
    <row r="4005" spans="43:43" x14ac:dyDescent="0.25">
      <c r="AQ4005" s="37"/>
    </row>
    <row r="4006" spans="43:43" x14ac:dyDescent="0.25">
      <c r="AQ4006" s="37"/>
    </row>
    <row r="4007" spans="43:43" x14ac:dyDescent="0.25">
      <c r="AQ4007" s="37"/>
    </row>
    <row r="4008" spans="43:43" x14ac:dyDescent="0.25">
      <c r="AQ4008" s="37"/>
    </row>
    <row r="4009" spans="43:43" x14ac:dyDescent="0.25">
      <c r="AQ4009" s="37"/>
    </row>
    <row r="4010" spans="43:43" x14ac:dyDescent="0.25">
      <c r="AQ4010" s="37"/>
    </row>
    <row r="4011" spans="43:43" x14ac:dyDescent="0.25">
      <c r="AQ4011" s="37"/>
    </row>
    <row r="4012" spans="43:43" x14ac:dyDescent="0.25">
      <c r="AQ4012" s="37"/>
    </row>
    <row r="4013" spans="43:43" x14ac:dyDescent="0.25">
      <c r="AQ4013" s="37"/>
    </row>
    <row r="4014" spans="43:43" x14ac:dyDescent="0.25">
      <c r="AQ4014" s="37"/>
    </row>
    <row r="4015" spans="43:43" x14ac:dyDescent="0.25">
      <c r="AQ4015" s="37"/>
    </row>
    <row r="4016" spans="43:43" x14ac:dyDescent="0.25">
      <c r="AQ4016" s="37"/>
    </row>
    <row r="4017" spans="43:43" x14ac:dyDescent="0.25">
      <c r="AQ4017" s="37"/>
    </row>
    <row r="4018" spans="43:43" x14ac:dyDescent="0.25">
      <c r="AQ4018" s="37"/>
    </row>
    <row r="4019" spans="43:43" x14ac:dyDescent="0.25">
      <c r="AQ4019" s="37"/>
    </row>
    <row r="4020" spans="43:43" x14ac:dyDescent="0.25">
      <c r="AQ4020" s="37"/>
    </row>
    <row r="4021" spans="43:43" x14ac:dyDescent="0.25">
      <c r="AQ4021" s="37"/>
    </row>
    <row r="4022" spans="43:43" x14ac:dyDescent="0.25">
      <c r="AQ4022" s="37"/>
    </row>
    <row r="4023" spans="43:43" x14ac:dyDescent="0.25">
      <c r="AQ4023" s="37"/>
    </row>
    <row r="4024" spans="43:43" x14ac:dyDescent="0.25">
      <c r="AQ4024" s="37"/>
    </row>
    <row r="4025" spans="43:43" x14ac:dyDescent="0.25">
      <c r="AQ4025" s="37"/>
    </row>
    <row r="4026" spans="43:43" x14ac:dyDescent="0.25">
      <c r="AQ4026" s="37"/>
    </row>
    <row r="4027" spans="43:43" x14ac:dyDescent="0.25">
      <c r="AQ4027" s="37"/>
    </row>
    <row r="4028" spans="43:43" x14ac:dyDescent="0.25">
      <c r="AQ4028" s="37"/>
    </row>
    <row r="4029" spans="43:43" x14ac:dyDescent="0.25">
      <c r="AQ4029" s="37"/>
    </row>
    <row r="4030" spans="43:43" x14ac:dyDescent="0.25">
      <c r="AQ4030" s="37"/>
    </row>
    <row r="4031" spans="43:43" x14ac:dyDescent="0.25">
      <c r="AQ4031" s="37"/>
    </row>
    <row r="4032" spans="43:43" x14ac:dyDescent="0.25">
      <c r="AQ4032" s="37"/>
    </row>
    <row r="4033" spans="43:43" x14ac:dyDescent="0.25">
      <c r="AQ4033" s="37"/>
    </row>
    <row r="4034" spans="43:43" x14ac:dyDescent="0.25">
      <c r="AQ4034" s="37"/>
    </row>
    <row r="4035" spans="43:43" x14ac:dyDescent="0.25">
      <c r="AQ4035" s="37"/>
    </row>
    <row r="4036" spans="43:43" x14ac:dyDescent="0.25">
      <c r="AQ4036" s="37"/>
    </row>
    <row r="4037" spans="43:43" x14ac:dyDescent="0.25">
      <c r="AQ4037" s="37"/>
    </row>
    <row r="4038" spans="43:43" x14ac:dyDescent="0.25">
      <c r="AQ4038" s="37"/>
    </row>
    <row r="4039" spans="43:43" x14ac:dyDescent="0.25">
      <c r="AQ4039" s="37"/>
    </row>
    <row r="4040" spans="43:43" x14ac:dyDescent="0.25">
      <c r="AQ4040" s="37"/>
    </row>
    <row r="4041" spans="43:43" x14ac:dyDescent="0.25">
      <c r="AQ4041" s="37"/>
    </row>
    <row r="4042" spans="43:43" x14ac:dyDescent="0.25">
      <c r="AQ4042" s="37"/>
    </row>
    <row r="4043" spans="43:43" x14ac:dyDescent="0.25">
      <c r="AQ4043" s="37"/>
    </row>
    <row r="4044" spans="43:43" x14ac:dyDescent="0.25">
      <c r="AQ4044" s="37"/>
    </row>
    <row r="4045" spans="43:43" x14ac:dyDescent="0.25">
      <c r="AQ4045" s="37"/>
    </row>
    <row r="4046" spans="43:43" x14ac:dyDescent="0.25">
      <c r="AQ4046" s="37"/>
    </row>
    <row r="4047" spans="43:43" x14ac:dyDescent="0.25">
      <c r="AQ4047" s="37"/>
    </row>
    <row r="4048" spans="43:43" x14ac:dyDescent="0.25">
      <c r="AQ4048" s="37"/>
    </row>
    <row r="4049" spans="43:43" x14ac:dyDescent="0.25">
      <c r="AQ4049" s="37"/>
    </row>
    <row r="4050" spans="43:43" x14ac:dyDescent="0.25">
      <c r="AQ4050" s="37"/>
    </row>
    <row r="4051" spans="43:43" x14ac:dyDescent="0.25">
      <c r="AQ4051" s="37"/>
    </row>
    <row r="4052" spans="43:43" x14ac:dyDescent="0.25">
      <c r="AQ4052" s="37"/>
    </row>
    <row r="4053" spans="43:43" x14ac:dyDescent="0.25">
      <c r="AQ4053" s="37"/>
    </row>
    <row r="4054" spans="43:43" x14ac:dyDescent="0.25">
      <c r="AQ4054" s="37"/>
    </row>
    <row r="4055" spans="43:43" x14ac:dyDescent="0.25">
      <c r="AQ4055" s="37"/>
    </row>
    <row r="4056" spans="43:43" x14ac:dyDescent="0.25">
      <c r="AQ4056" s="37"/>
    </row>
    <row r="4057" spans="43:43" x14ac:dyDescent="0.25">
      <c r="AQ4057" s="37"/>
    </row>
    <row r="4058" spans="43:43" x14ac:dyDescent="0.25">
      <c r="AQ4058" s="37"/>
    </row>
    <row r="4059" spans="43:43" x14ac:dyDescent="0.25">
      <c r="AQ4059" s="37"/>
    </row>
    <row r="4060" spans="43:43" x14ac:dyDescent="0.25">
      <c r="AQ4060" s="37"/>
    </row>
    <row r="4061" spans="43:43" x14ac:dyDescent="0.25">
      <c r="AQ4061" s="37"/>
    </row>
    <row r="4062" spans="43:43" x14ac:dyDescent="0.25">
      <c r="AQ4062" s="37"/>
    </row>
    <row r="4063" spans="43:43" x14ac:dyDescent="0.25">
      <c r="AQ4063" s="37"/>
    </row>
    <row r="4064" spans="43:43" x14ac:dyDescent="0.25">
      <c r="AQ4064" s="37"/>
    </row>
    <row r="4065" spans="43:43" x14ac:dyDescent="0.25">
      <c r="AQ4065" s="37"/>
    </row>
    <row r="4066" spans="43:43" x14ac:dyDescent="0.25">
      <c r="AQ4066" s="37"/>
    </row>
    <row r="4067" spans="43:43" x14ac:dyDescent="0.25">
      <c r="AQ4067" s="37"/>
    </row>
    <row r="4068" spans="43:43" x14ac:dyDescent="0.25">
      <c r="AQ4068" s="37"/>
    </row>
    <row r="4069" spans="43:43" x14ac:dyDescent="0.25">
      <c r="AQ4069" s="37"/>
    </row>
    <row r="4070" spans="43:43" x14ac:dyDescent="0.25">
      <c r="AQ4070" s="37"/>
    </row>
    <row r="4071" spans="43:43" x14ac:dyDescent="0.25">
      <c r="AQ4071" s="37"/>
    </row>
    <row r="4072" spans="43:43" x14ac:dyDescent="0.25">
      <c r="AQ4072" s="37"/>
    </row>
    <row r="4073" spans="43:43" x14ac:dyDescent="0.25">
      <c r="AQ4073" s="37"/>
    </row>
    <row r="4074" spans="43:43" x14ac:dyDescent="0.25">
      <c r="AQ4074" s="37"/>
    </row>
    <row r="4075" spans="43:43" x14ac:dyDescent="0.25">
      <c r="AQ4075" s="37"/>
    </row>
    <row r="4076" spans="43:43" x14ac:dyDescent="0.25">
      <c r="AQ4076" s="37"/>
    </row>
    <row r="4077" spans="43:43" x14ac:dyDescent="0.25">
      <c r="AQ4077" s="37"/>
    </row>
    <row r="4078" spans="43:43" x14ac:dyDescent="0.25">
      <c r="AQ4078" s="37"/>
    </row>
    <row r="4079" spans="43:43" x14ac:dyDescent="0.25">
      <c r="AQ4079" s="37"/>
    </row>
    <row r="4080" spans="43:43" x14ac:dyDescent="0.25">
      <c r="AQ4080" s="37"/>
    </row>
    <row r="4081" spans="43:43" x14ac:dyDescent="0.25">
      <c r="AQ4081" s="37"/>
    </row>
    <row r="4082" spans="43:43" x14ac:dyDescent="0.25">
      <c r="AQ4082" s="37"/>
    </row>
    <row r="4083" spans="43:43" x14ac:dyDescent="0.25">
      <c r="AQ4083" s="37"/>
    </row>
    <row r="4084" spans="43:43" x14ac:dyDescent="0.25">
      <c r="AQ4084" s="37"/>
    </row>
    <row r="4085" spans="43:43" x14ac:dyDescent="0.25">
      <c r="AQ4085" s="37"/>
    </row>
    <row r="4086" spans="43:43" x14ac:dyDescent="0.25">
      <c r="AQ4086" s="37"/>
    </row>
    <row r="4087" spans="43:43" x14ac:dyDescent="0.25">
      <c r="AQ4087" s="37"/>
    </row>
    <row r="4088" spans="43:43" x14ac:dyDescent="0.25">
      <c r="AQ4088" s="37"/>
    </row>
    <row r="4089" spans="43:43" x14ac:dyDescent="0.25">
      <c r="AQ4089" s="37"/>
    </row>
    <row r="4090" spans="43:43" x14ac:dyDescent="0.25">
      <c r="AQ4090" s="37"/>
    </row>
    <row r="4091" spans="43:43" x14ac:dyDescent="0.25">
      <c r="AQ4091" s="37"/>
    </row>
    <row r="4092" spans="43:43" x14ac:dyDescent="0.25">
      <c r="AQ4092" s="37"/>
    </row>
    <row r="4093" spans="43:43" x14ac:dyDescent="0.25">
      <c r="AQ4093" s="37"/>
    </row>
    <row r="4094" spans="43:43" x14ac:dyDescent="0.25">
      <c r="AQ4094" s="37"/>
    </row>
    <row r="4095" spans="43:43" x14ac:dyDescent="0.25">
      <c r="AQ4095" s="37"/>
    </row>
    <row r="4096" spans="43:43" x14ac:dyDescent="0.25">
      <c r="AQ4096" s="37"/>
    </row>
    <row r="4097" spans="43:43" x14ac:dyDescent="0.25">
      <c r="AQ4097" s="37"/>
    </row>
    <row r="4098" spans="43:43" x14ac:dyDescent="0.25">
      <c r="AQ4098" s="37"/>
    </row>
    <row r="4099" spans="43:43" x14ac:dyDescent="0.25">
      <c r="AQ4099" s="37"/>
    </row>
    <row r="4100" spans="43:43" x14ac:dyDescent="0.25">
      <c r="AQ4100" s="37"/>
    </row>
    <row r="4101" spans="43:43" x14ac:dyDescent="0.25">
      <c r="AQ4101" s="37"/>
    </row>
    <row r="4102" spans="43:43" x14ac:dyDescent="0.25">
      <c r="AQ4102" s="37"/>
    </row>
    <row r="4103" spans="43:43" x14ac:dyDescent="0.25">
      <c r="AQ4103" s="37"/>
    </row>
    <row r="4104" spans="43:43" x14ac:dyDescent="0.25">
      <c r="AQ4104" s="37"/>
    </row>
    <row r="4105" spans="43:43" x14ac:dyDescent="0.25">
      <c r="AQ4105" s="37"/>
    </row>
    <row r="4106" spans="43:43" x14ac:dyDescent="0.25">
      <c r="AQ4106" s="37"/>
    </row>
    <row r="4107" spans="43:43" x14ac:dyDescent="0.25">
      <c r="AQ4107" s="37"/>
    </row>
    <row r="4108" spans="43:43" x14ac:dyDescent="0.25">
      <c r="AQ4108" s="37"/>
    </row>
    <row r="4109" spans="43:43" x14ac:dyDescent="0.25">
      <c r="AQ4109" s="37"/>
    </row>
    <row r="4110" spans="43:43" x14ac:dyDescent="0.25">
      <c r="AQ4110" s="37"/>
    </row>
    <row r="4111" spans="43:43" x14ac:dyDescent="0.25">
      <c r="AQ4111" s="37"/>
    </row>
    <row r="4112" spans="43:43" x14ac:dyDescent="0.25">
      <c r="AQ4112" s="37"/>
    </row>
    <row r="4113" spans="43:43" x14ac:dyDescent="0.25">
      <c r="AQ4113" s="37"/>
    </row>
    <row r="4114" spans="43:43" x14ac:dyDescent="0.25">
      <c r="AQ4114" s="37"/>
    </row>
    <row r="4115" spans="43:43" x14ac:dyDescent="0.25">
      <c r="AQ4115" s="37"/>
    </row>
    <row r="4116" spans="43:43" x14ac:dyDescent="0.25">
      <c r="AQ4116" s="37"/>
    </row>
    <row r="4117" spans="43:43" x14ac:dyDescent="0.25">
      <c r="AQ4117" s="37"/>
    </row>
    <row r="4118" spans="43:43" x14ac:dyDescent="0.25">
      <c r="AQ4118" s="37"/>
    </row>
    <row r="4119" spans="43:43" x14ac:dyDescent="0.25">
      <c r="AQ4119" s="37"/>
    </row>
    <row r="4120" spans="43:43" x14ac:dyDescent="0.25">
      <c r="AQ4120" s="37"/>
    </row>
    <row r="4121" spans="43:43" x14ac:dyDescent="0.25">
      <c r="AQ4121" s="37"/>
    </row>
    <row r="4122" spans="43:43" x14ac:dyDescent="0.25">
      <c r="AQ4122" s="37"/>
    </row>
    <row r="4123" spans="43:43" x14ac:dyDescent="0.25">
      <c r="AQ4123" s="37"/>
    </row>
    <row r="4124" spans="43:43" x14ac:dyDescent="0.25">
      <c r="AQ4124" s="37"/>
    </row>
    <row r="4125" spans="43:43" x14ac:dyDescent="0.25">
      <c r="AQ4125" s="37"/>
    </row>
    <row r="4126" spans="43:43" x14ac:dyDescent="0.25">
      <c r="AQ4126" s="37"/>
    </row>
    <row r="4127" spans="43:43" x14ac:dyDescent="0.25">
      <c r="AQ4127" s="37"/>
    </row>
    <row r="4128" spans="43:43" x14ac:dyDescent="0.25">
      <c r="AQ4128" s="37"/>
    </row>
    <row r="4129" spans="43:43" x14ac:dyDescent="0.25">
      <c r="AQ4129" s="37"/>
    </row>
    <row r="4130" spans="43:43" x14ac:dyDescent="0.25">
      <c r="AQ4130" s="37"/>
    </row>
    <row r="4131" spans="43:43" x14ac:dyDescent="0.25">
      <c r="AQ4131" s="37"/>
    </row>
    <row r="4132" spans="43:43" x14ac:dyDescent="0.25">
      <c r="AQ4132" s="37"/>
    </row>
    <row r="4133" spans="43:43" x14ac:dyDescent="0.25">
      <c r="AQ4133" s="37"/>
    </row>
    <row r="4134" spans="43:43" x14ac:dyDescent="0.25">
      <c r="AQ4134" s="37"/>
    </row>
    <row r="4135" spans="43:43" x14ac:dyDescent="0.25">
      <c r="AQ4135" s="37"/>
    </row>
    <row r="4136" spans="43:43" x14ac:dyDescent="0.25">
      <c r="AQ4136" s="37"/>
    </row>
    <row r="4137" spans="43:43" x14ac:dyDescent="0.25">
      <c r="AQ4137" s="37"/>
    </row>
    <row r="4138" spans="43:43" x14ac:dyDescent="0.25">
      <c r="AQ4138" s="37"/>
    </row>
    <row r="4139" spans="43:43" x14ac:dyDescent="0.25">
      <c r="AQ4139" s="37"/>
    </row>
    <row r="4140" spans="43:43" x14ac:dyDescent="0.25">
      <c r="AQ4140" s="37"/>
    </row>
    <row r="4141" spans="43:43" x14ac:dyDescent="0.25">
      <c r="AQ4141" s="37"/>
    </row>
    <row r="4142" spans="43:43" x14ac:dyDescent="0.25">
      <c r="AQ4142" s="37"/>
    </row>
    <row r="4143" spans="43:43" x14ac:dyDescent="0.25">
      <c r="AQ4143" s="37"/>
    </row>
    <row r="4144" spans="43:43" x14ac:dyDescent="0.25">
      <c r="AQ4144" s="37"/>
    </row>
    <row r="4145" spans="43:43" x14ac:dyDescent="0.25">
      <c r="AQ4145" s="37"/>
    </row>
    <row r="4146" spans="43:43" x14ac:dyDescent="0.25">
      <c r="AQ4146" s="37"/>
    </row>
    <row r="4147" spans="43:43" x14ac:dyDescent="0.25">
      <c r="AQ4147" s="37"/>
    </row>
    <row r="4148" spans="43:43" x14ac:dyDescent="0.25">
      <c r="AQ4148" s="37"/>
    </row>
    <row r="4149" spans="43:43" x14ac:dyDescent="0.25">
      <c r="AQ4149" s="37"/>
    </row>
    <row r="4150" spans="43:43" x14ac:dyDescent="0.25">
      <c r="AQ4150" s="37"/>
    </row>
    <row r="4151" spans="43:43" x14ac:dyDescent="0.25">
      <c r="AQ4151" s="37"/>
    </row>
    <row r="4152" spans="43:43" x14ac:dyDescent="0.25">
      <c r="AQ4152" s="37"/>
    </row>
    <row r="4153" spans="43:43" x14ac:dyDescent="0.25">
      <c r="AQ4153" s="37"/>
    </row>
    <row r="4154" spans="43:43" x14ac:dyDescent="0.25">
      <c r="AQ4154" s="37"/>
    </row>
    <row r="4155" spans="43:43" x14ac:dyDescent="0.25">
      <c r="AQ4155" s="37"/>
    </row>
    <row r="4156" spans="43:43" x14ac:dyDescent="0.25">
      <c r="AQ4156" s="37"/>
    </row>
    <row r="4157" spans="43:43" x14ac:dyDescent="0.25">
      <c r="AQ4157" s="37"/>
    </row>
    <row r="4158" spans="43:43" x14ac:dyDescent="0.25">
      <c r="AQ4158" s="37"/>
    </row>
    <row r="4159" spans="43:43" x14ac:dyDescent="0.25">
      <c r="AQ4159" s="37"/>
    </row>
    <row r="4160" spans="43:43" x14ac:dyDescent="0.25">
      <c r="AQ4160" s="37"/>
    </row>
    <row r="4161" spans="43:43" x14ac:dyDescent="0.25">
      <c r="AQ4161" s="37"/>
    </row>
    <row r="4162" spans="43:43" x14ac:dyDescent="0.25">
      <c r="AQ4162" s="37"/>
    </row>
    <row r="4163" spans="43:43" x14ac:dyDescent="0.25">
      <c r="AQ4163" s="37"/>
    </row>
    <row r="4164" spans="43:43" x14ac:dyDescent="0.25">
      <c r="AQ4164" s="37"/>
    </row>
    <row r="4165" spans="43:43" x14ac:dyDescent="0.25">
      <c r="AQ4165" s="37"/>
    </row>
    <row r="4166" spans="43:43" x14ac:dyDescent="0.25">
      <c r="AQ4166" s="37"/>
    </row>
    <row r="4167" spans="43:43" x14ac:dyDescent="0.25">
      <c r="AQ4167" s="37"/>
    </row>
    <row r="4168" spans="43:43" x14ac:dyDescent="0.25">
      <c r="AQ4168" s="37"/>
    </row>
    <row r="4169" spans="43:43" x14ac:dyDescent="0.25">
      <c r="AQ4169" s="37"/>
    </row>
    <row r="4170" spans="43:43" x14ac:dyDescent="0.25">
      <c r="AQ4170" s="37"/>
    </row>
    <row r="4171" spans="43:43" x14ac:dyDescent="0.25">
      <c r="AQ4171" s="37"/>
    </row>
    <row r="4172" spans="43:43" x14ac:dyDescent="0.25">
      <c r="AQ4172" s="37"/>
    </row>
    <row r="4173" spans="43:43" x14ac:dyDescent="0.25">
      <c r="AQ4173" s="37"/>
    </row>
    <row r="4174" spans="43:43" x14ac:dyDescent="0.25">
      <c r="AQ4174" s="37"/>
    </row>
    <row r="4175" spans="43:43" x14ac:dyDescent="0.25">
      <c r="AQ4175" s="37"/>
    </row>
    <row r="4176" spans="43:43" x14ac:dyDescent="0.25">
      <c r="AQ4176" s="37"/>
    </row>
    <row r="4177" spans="43:43" x14ac:dyDescent="0.25">
      <c r="AQ4177" s="37"/>
    </row>
    <row r="4178" spans="43:43" x14ac:dyDescent="0.25">
      <c r="AQ4178" s="37"/>
    </row>
    <row r="4179" spans="43:43" x14ac:dyDescent="0.25">
      <c r="AQ4179" s="37"/>
    </row>
    <row r="4180" spans="43:43" x14ac:dyDescent="0.25">
      <c r="AQ4180" s="37"/>
    </row>
    <row r="4181" spans="43:43" x14ac:dyDescent="0.25">
      <c r="AQ4181" s="37"/>
    </row>
    <row r="4182" spans="43:43" x14ac:dyDescent="0.25">
      <c r="AQ4182" s="37"/>
    </row>
    <row r="4183" spans="43:43" x14ac:dyDescent="0.25">
      <c r="AQ4183" s="37"/>
    </row>
    <row r="4184" spans="43:43" x14ac:dyDescent="0.25">
      <c r="AQ4184" s="37"/>
    </row>
    <row r="4185" spans="43:43" x14ac:dyDescent="0.25">
      <c r="AQ4185" s="37"/>
    </row>
    <row r="4186" spans="43:43" x14ac:dyDescent="0.25">
      <c r="AQ4186" s="37"/>
    </row>
    <row r="4187" spans="43:43" x14ac:dyDescent="0.25">
      <c r="AQ4187" s="37"/>
    </row>
    <row r="4188" spans="43:43" x14ac:dyDescent="0.25">
      <c r="AQ4188" s="37"/>
    </row>
    <row r="4189" spans="43:43" x14ac:dyDescent="0.25">
      <c r="AQ4189" s="37"/>
    </row>
    <row r="4190" spans="43:43" x14ac:dyDescent="0.25">
      <c r="AQ4190" s="37"/>
    </row>
    <row r="4191" spans="43:43" x14ac:dyDescent="0.25">
      <c r="AQ4191" s="37"/>
    </row>
    <row r="4192" spans="43:43" x14ac:dyDescent="0.25">
      <c r="AQ4192" s="37"/>
    </row>
    <row r="4193" spans="43:43" x14ac:dyDescent="0.25">
      <c r="AQ4193" s="37"/>
    </row>
    <row r="4194" spans="43:43" x14ac:dyDescent="0.25">
      <c r="AQ4194" s="37"/>
    </row>
    <row r="4195" spans="43:43" x14ac:dyDescent="0.25">
      <c r="AQ4195" s="37"/>
    </row>
    <row r="4196" spans="43:43" x14ac:dyDescent="0.25">
      <c r="AQ4196" s="37"/>
    </row>
    <row r="4197" spans="43:43" x14ac:dyDescent="0.25">
      <c r="AQ4197" s="37"/>
    </row>
    <row r="4198" spans="43:43" x14ac:dyDescent="0.25">
      <c r="AQ4198" s="37"/>
    </row>
    <row r="4199" spans="43:43" x14ac:dyDescent="0.25">
      <c r="AQ4199" s="37"/>
    </row>
    <row r="4200" spans="43:43" x14ac:dyDescent="0.25">
      <c r="AQ4200" s="37"/>
    </row>
    <row r="4201" spans="43:43" x14ac:dyDescent="0.25">
      <c r="AQ4201" s="37"/>
    </row>
    <row r="4202" spans="43:43" x14ac:dyDescent="0.25">
      <c r="AQ4202" s="37"/>
    </row>
    <row r="4203" spans="43:43" x14ac:dyDescent="0.25">
      <c r="AQ4203" s="37"/>
    </row>
    <row r="4204" spans="43:43" x14ac:dyDescent="0.25">
      <c r="AQ4204" s="37"/>
    </row>
    <row r="4205" spans="43:43" x14ac:dyDescent="0.25">
      <c r="AQ4205" s="37"/>
    </row>
    <row r="4206" spans="43:43" x14ac:dyDescent="0.25">
      <c r="AQ4206" s="37"/>
    </row>
    <row r="4207" spans="43:43" x14ac:dyDescent="0.25">
      <c r="AQ4207" s="37"/>
    </row>
    <row r="4208" spans="43:43" x14ac:dyDescent="0.25">
      <c r="AQ4208" s="37"/>
    </row>
    <row r="4209" spans="43:43" x14ac:dyDescent="0.25">
      <c r="AQ4209" s="37"/>
    </row>
    <row r="4210" spans="43:43" x14ac:dyDescent="0.25">
      <c r="AQ4210" s="37"/>
    </row>
    <row r="4211" spans="43:43" x14ac:dyDescent="0.25">
      <c r="AQ4211" s="37"/>
    </row>
    <row r="4212" spans="43:43" x14ac:dyDescent="0.25">
      <c r="AQ4212" s="37"/>
    </row>
    <row r="4213" spans="43:43" x14ac:dyDescent="0.25">
      <c r="AQ4213" s="37"/>
    </row>
    <row r="4214" spans="43:43" x14ac:dyDescent="0.25">
      <c r="AQ4214" s="37"/>
    </row>
    <row r="4215" spans="43:43" x14ac:dyDescent="0.25">
      <c r="AQ4215" s="37"/>
    </row>
    <row r="4216" spans="43:43" x14ac:dyDescent="0.25">
      <c r="AQ4216" s="37"/>
    </row>
    <row r="4217" spans="43:43" x14ac:dyDescent="0.25">
      <c r="AQ4217" s="37"/>
    </row>
    <row r="4218" spans="43:43" x14ac:dyDescent="0.25">
      <c r="AQ4218" s="37"/>
    </row>
    <row r="4219" spans="43:43" x14ac:dyDescent="0.25">
      <c r="AQ4219" s="37"/>
    </row>
    <row r="4220" spans="43:43" x14ac:dyDescent="0.25">
      <c r="AQ4220" s="37"/>
    </row>
    <row r="4221" spans="43:43" x14ac:dyDescent="0.25">
      <c r="AQ4221" s="37"/>
    </row>
    <row r="4222" spans="43:43" x14ac:dyDescent="0.25">
      <c r="AQ4222" s="37"/>
    </row>
    <row r="4223" spans="43:43" x14ac:dyDescent="0.25">
      <c r="AQ4223" s="37"/>
    </row>
    <row r="4224" spans="43:43" x14ac:dyDescent="0.25">
      <c r="AQ4224" s="37"/>
    </row>
    <row r="4225" spans="43:43" x14ac:dyDescent="0.25">
      <c r="AQ4225" s="37"/>
    </row>
    <row r="4226" spans="43:43" x14ac:dyDescent="0.25">
      <c r="AQ4226" s="37"/>
    </row>
    <row r="4227" spans="43:43" x14ac:dyDescent="0.25">
      <c r="AQ4227" s="37"/>
    </row>
    <row r="4228" spans="43:43" x14ac:dyDescent="0.25">
      <c r="AQ4228" s="37"/>
    </row>
    <row r="4229" spans="43:43" x14ac:dyDescent="0.25">
      <c r="AQ4229" s="37"/>
    </row>
    <row r="4230" spans="43:43" x14ac:dyDescent="0.25">
      <c r="AQ4230" s="37"/>
    </row>
    <row r="4231" spans="43:43" x14ac:dyDescent="0.25">
      <c r="AQ4231" s="37"/>
    </row>
    <row r="4232" spans="43:43" x14ac:dyDescent="0.25">
      <c r="AQ4232" s="37"/>
    </row>
    <row r="4233" spans="43:43" x14ac:dyDescent="0.25">
      <c r="AQ4233" s="37"/>
    </row>
    <row r="4234" spans="43:43" x14ac:dyDescent="0.25">
      <c r="AQ4234" s="37"/>
    </row>
    <row r="4235" spans="43:43" x14ac:dyDescent="0.25">
      <c r="AQ4235" s="37"/>
    </row>
    <row r="4236" spans="43:43" x14ac:dyDescent="0.25">
      <c r="AQ4236" s="37"/>
    </row>
    <row r="4237" spans="43:43" x14ac:dyDescent="0.25">
      <c r="AQ4237" s="37"/>
    </row>
    <row r="4238" spans="43:43" x14ac:dyDescent="0.25">
      <c r="AQ4238" s="37"/>
    </row>
    <row r="4239" spans="43:43" x14ac:dyDescent="0.25">
      <c r="AQ4239" s="37"/>
    </row>
    <row r="4240" spans="43:43" x14ac:dyDescent="0.25">
      <c r="AQ4240" s="37"/>
    </row>
    <row r="4241" spans="43:43" x14ac:dyDescent="0.25">
      <c r="AQ4241" s="37"/>
    </row>
    <row r="4242" spans="43:43" x14ac:dyDescent="0.25">
      <c r="AQ4242" s="37"/>
    </row>
    <row r="4243" spans="43:43" x14ac:dyDescent="0.25">
      <c r="AQ4243" s="37"/>
    </row>
    <row r="4244" spans="43:43" x14ac:dyDescent="0.25">
      <c r="AQ4244" s="37"/>
    </row>
    <row r="4245" spans="43:43" x14ac:dyDescent="0.25">
      <c r="AQ4245" s="37"/>
    </row>
    <row r="4246" spans="43:43" x14ac:dyDescent="0.25">
      <c r="AQ4246" s="37"/>
    </row>
    <row r="4247" spans="43:43" x14ac:dyDescent="0.25">
      <c r="AQ4247" s="37"/>
    </row>
    <row r="4248" spans="43:43" x14ac:dyDescent="0.25">
      <c r="AQ4248" s="37"/>
    </row>
    <row r="4249" spans="43:43" x14ac:dyDescent="0.25">
      <c r="AQ4249" s="37"/>
    </row>
    <row r="4250" spans="43:43" x14ac:dyDescent="0.25">
      <c r="AQ4250" s="37"/>
    </row>
    <row r="4251" spans="43:43" x14ac:dyDescent="0.25">
      <c r="AQ4251" s="37"/>
    </row>
    <row r="4252" spans="43:43" x14ac:dyDescent="0.25">
      <c r="AQ4252" s="37"/>
    </row>
    <row r="4253" spans="43:43" x14ac:dyDescent="0.25">
      <c r="AQ4253" s="37"/>
    </row>
    <row r="4254" spans="43:43" x14ac:dyDescent="0.25">
      <c r="AQ4254" s="37"/>
    </row>
    <row r="4255" spans="43:43" x14ac:dyDescent="0.25">
      <c r="AQ4255" s="37"/>
    </row>
    <row r="4256" spans="43:43" x14ac:dyDescent="0.25">
      <c r="AQ4256" s="37"/>
    </row>
    <row r="4257" spans="43:43" x14ac:dyDescent="0.25">
      <c r="AQ4257" s="37"/>
    </row>
    <row r="4258" spans="43:43" x14ac:dyDescent="0.25">
      <c r="AQ4258" s="37"/>
    </row>
    <row r="4259" spans="43:43" x14ac:dyDescent="0.25">
      <c r="AQ4259" s="37"/>
    </row>
    <row r="4260" spans="43:43" x14ac:dyDescent="0.25">
      <c r="AQ4260" s="37"/>
    </row>
    <row r="4261" spans="43:43" x14ac:dyDescent="0.25">
      <c r="AQ4261" s="37"/>
    </row>
    <row r="4262" spans="43:43" x14ac:dyDescent="0.25">
      <c r="AQ4262" s="37"/>
    </row>
    <row r="4263" spans="43:43" x14ac:dyDescent="0.25">
      <c r="AQ4263" s="37"/>
    </row>
    <row r="4264" spans="43:43" x14ac:dyDescent="0.25">
      <c r="AQ4264" s="37"/>
    </row>
    <row r="4265" spans="43:43" x14ac:dyDescent="0.25">
      <c r="AQ4265" s="37"/>
    </row>
    <row r="4266" spans="43:43" x14ac:dyDescent="0.25">
      <c r="AQ4266" s="37"/>
    </row>
    <row r="4267" spans="43:43" x14ac:dyDescent="0.25">
      <c r="AQ4267" s="37"/>
    </row>
    <row r="4268" spans="43:43" x14ac:dyDescent="0.25">
      <c r="AQ4268" s="37"/>
    </row>
    <row r="4269" spans="43:43" x14ac:dyDescent="0.25">
      <c r="AQ4269" s="37"/>
    </row>
    <row r="4270" spans="43:43" x14ac:dyDescent="0.25">
      <c r="AQ4270" s="37"/>
    </row>
    <row r="4271" spans="43:43" x14ac:dyDescent="0.25">
      <c r="AQ4271" s="37"/>
    </row>
    <row r="4272" spans="43:43" x14ac:dyDescent="0.25">
      <c r="AQ4272" s="37"/>
    </row>
    <row r="4273" spans="43:43" x14ac:dyDescent="0.25">
      <c r="AQ4273" s="37"/>
    </row>
    <row r="4274" spans="43:43" x14ac:dyDescent="0.25">
      <c r="AQ4274" s="37"/>
    </row>
    <row r="4275" spans="43:43" x14ac:dyDescent="0.25">
      <c r="AQ4275" s="37"/>
    </row>
    <row r="4276" spans="43:43" x14ac:dyDescent="0.25">
      <c r="AQ4276" s="37"/>
    </row>
    <row r="4277" spans="43:43" x14ac:dyDescent="0.25">
      <c r="AQ4277" s="37"/>
    </row>
    <row r="4278" spans="43:43" x14ac:dyDescent="0.25">
      <c r="AQ4278" s="37"/>
    </row>
    <row r="4279" spans="43:43" x14ac:dyDescent="0.25">
      <c r="AQ4279" s="37"/>
    </row>
    <row r="4280" spans="43:43" x14ac:dyDescent="0.25">
      <c r="AQ4280" s="37"/>
    </row>
    <row r="4281" spans="43:43" x14ac:dyDescent="0.25">
      <c r="AQ4281" s="37"/>
    </row>
    <row r="4282" spans="43:43" x14ac:dyDescent="0.25">
      <c r="AQ4282" s="37"/>
    </row>
    <row r="4283" spans="43:43" x14ac:dyDescent="0.25">
      <c r="AQ4283" s="37"/>
    </row>
    <row r="4284" spans="43:43" x14ac:dyDescent="0.25">
      <c r="AQ4284" s="37"/>
    </row>
    <row r="4285" spans="43:43" x14ac:dyDescent="0.25">
      <c r="AQ4285" s="37"/>
    </row>
    <row r="4286" spans="43:43" x14ac:dyDescent="0.25">
      <c r="AQ4286" s="37"/>
    </row>
    <row r="4287" spans="43:43" x14ac:dyDescent="0.25">
      <c r="AQ4287" s="37"/>
    </row>
    <row r="4288" spans="43:43" x14ac:dyDescent="0.25">
      <c r="AQ4288" s="37"/>
    </row>
    <row r="4289" spans="43:43" x14ac:dyDescent="0.25">
      <c r="AQ4289" s="37"/>
    </row>
    <row r="4290" spans="43:43" x14ac:dyDescent="0.25">
      <c r="AQ4290" s="37"/>
    </row>
    <row r="4291" spans="43:43" x14ac:dyDescent="0.25">
      <c r="AQ4291" s="37"/>
    </row>
    <row r="4292" spans="43:43" x14ac:dyDescent="0.25">
      <c r="AQ4292" s="37"/>
    </row>
    <row r="4293" spans="43:43" x14ac:dyDescent="0.25">
      <c r="AQ4293" s="37"/>
    </row>
    <row r="4294" spans="43:43" x14ac:dyDescent="0.25">
      <c r="AQ4294" s="37"/>
    </row>
    <row r="4295" spans="43:43" x14ac:dyDescent="0.25">
      <c r="AQ4295" s="37"/>
    </row>
    <row r="4296" spans="43:43" x14ac:dyDescent="0.25">
      <c r="AQ4296" s="37"/>
    </row>
    <row r="4297" spans="43:43" x14ac:dyDescent="0.25">
      <c r="AQ4297" s="37"/>
    </row>
    <row r="4298" spans="43:43" x14ac:dyDescent="0.25">
      <c r="AQ4298" s="37"/>
    </row>
    <row r="4299" spans="43:43" x14ac:dyDescent="0.25">
      <c r="AQ4299" s="37"/>
    </row>
    <row r="4300" spans="43:43" x14ac:dyDescent="0.25">
      <c r="AQ4300" s="37"/>
    </row>
    <row r="4301" spans="43:43" x14ac:dyDescent="0.25">
      <c r="AQ4301" s="37"/>
    </row>
    <row r="4302" spans="43:43" x14ac:dyDescent="0.25">
      <c r="AQ4302" s="37"/>
    </row>
    <row r="4303" spans="43:43" x14ac:dyDescent="0.25">
      <c r="AQ4303" s="37"/>
    </row>
    <row r="4304" spans="43:43" x14ac:dyDescent="0.25">
      <c r="AQ4304" s="37"/>
    </row>
    <row r="4305" spans="43:43" x14ac:dyDescent="0.25">
      <c r="AQ4305" s="37"/>
    </row>
    <row r="4306" spans="43:43" x14ac:dyDescent="0.25">
      <c r="AQ4306" s="37"/>
    </row>
    <row r="4307" spans="43:43" x14ac:dyDescent="0.25">
      <c r="AQ4307" s="37"/>
    </row>
    <row r="4308" spans="43:43" x14ac:dyDescent="0.25">
      <c r="AQ4308" s="37"/>
    </row>
    <row r="4309" spans="43:43" x14ac:dyDescent="0.25">
      <c r="AQ4309" s="37"/>
    </row>
    <row r="4310" spans="43:43" x14ac:dyDescent="0.25">
      <c r="AQ4310" s="37"/>
    </row>
    <row r="4311" spans="43:43" x14ac:dyDescent="0.25">
      <c r="AQ4311" s="37"/>
    </row>
    <row r="4312" spans="43:43" x14ac:dyDescent="0.25">
      <c r="AQ4312" s="37"/>
    </row>
    <row r="4313" spans="43:43" x14ac:dyDescent="0.25">
      <c r="AQ4313" s="37"/>
    </row>
    <row r="4314" spans="43:43" x14ac:dyDescent="0.25">
      <c r="AQ4314" s="37"/>
    </row>
    <row r="4315" spans="43:43" x14ac:dyDescent="0.25">
      <c r="AQ4315" s="37"/>
    </row>
    <row r="4316" spans="43:43" x14ac:dyDescent="0.25">
      <c r="AQ4316" s="37"/>
    </row>
    <row r="4317" spans="43:43" x14ac:dyDescent="0.25">
      <c r="AQ4317" s="37"/>
    </row>
    <row r="4318" spans="43:43" x14ac:dyDescent="0.25">
      <c r="AQ4318" s="37"/>
    </row>
    <row r="4319" spans="43:43" x14ac:dyDescent="0.25">
      <c r="AQ4319" s="37"/>
    </row>
    <row r="4320" spans="43:43" x14ac:dyDescent="0.25">
      <c r="AQ4320" s="37"/>
    </row>
    <row r="4321" spans="43:43" x14ac:dyDescent="0.25">
      <c r="AQ4321" s="37"/>
    </row>
    <row r="4322" spans="43:43" x14ac:dyDescent="0.25">
      <c r="AQ4322" s="37"/>
    </row>
    <row r="4323" spans="43:43" x14ac:dyDescent="0.25">
      <c r="AQ4323" s="37"/>
    </row>
    <row r="4324" spans="43:43" x14ac:dyDescent="0.25">
      <c r="AQ4324" s="37"/>
    </row>
    <row r="4325" spans="43:43" x14ac:dyDescent="0.25">
      <c r="AQ4325" s="37"/>
    </row>
    <row r="4326" spans="43:43" x14ac:dyDescent="0.25">
      <c r="AQ4326" s="37"/>
    </row>
    <row r="4327" spans="43:43" x14ac:dyDescent="0.25">
      <c r="AQ4327" s="37"/>
    </row>
    <row r="4328" spans="43:43" x14ac:dyDescent="0.25">
      <c r="AQ4328" s="37"/>
    </row>
    <row r="4329" spans="43:43" x14ac:dyDescent="0.25">
      <c r="AQ4329" s="37"/>
    </row>
    <row r="4330" spans="43:43" x14ac:dyDescent="0.25">
      <c r="AQ4330" s="37"/>
    </row>
    <row r="4331" spans="43:43" x14ac:dyDescent="0.25">
      <c r="AQ4331" s="37"/>
    </row>
    <row r="4332" spans="43:43" x14ac:dyDescent="0.25">
      <c r="AQ4332" s="37"/>
    </row>
    <row r="4333" spans="43:43" x14ac:dyDescent="0.25">
      <c r="AQ4333" s="37"/>
    </row>
    <row r="4334" spans="43:43" x14ac:dyDescent="0.25">
      <c r="AQ4334" s="37"/>
    </row>
    <row r="4335" spans="43:43" x14ac:dyDescent="0.25">
      <c r="AQ4335" s="37"/>
    </row>
    <row r="4336" spans="43:43" x14ac:dyDescent="0.25">
      <c r="AQ4336" s="37"/>
    </row>
    <row r="4337" spans="43:43" x14ac:dyDescent="0.25">
      <c r="AQ4337" s="37"/>
    </row>
    <row r="4338" spans="43:43" x14ac:dyDescent="0.25">
      <c r="AQ4338" s="37"/>
    </row>
    <row r="4339" spans="43:43" x14ac:dyDescent="0.25">
      <c r="AQ4339" s="37"/>
    </row>
    <row r="4340" spans="43:43" x14ac:dyDescent="0.25">
      <c r="AQ4340" s="37"/>
    </row>
    <row r="4341" spans="43:43" x14ac:dyDescent="0.25">
      <c r="AQ4341" s="37"/>
    </row>
    <row r="4342" spans="43:43" x14ac:dyDescent="0.25">
      <c r="AQ4342" s="37"/>
    </row>
    <row r="4343" spans="43:43" x14ac:dyDescent="0.25">
      <c r="AQ4343" s="37"/>
    </row>
    <row r="4344" spans="43:43" x14ac:dyDescent="0.25">
      <c r="AQ4344" s="37"/>
    </row>
    <row r="4345" spans="43:43" x14ac:dyDescent="0.25">
      <c r="AQ4345" s="37"/>
    </row>
    <row r="4346" spans="43:43" x14ac:dyDescent="0.25">
      <c r="AQ4346" s="37"/>
    </row>
    <row r="4347" spans="43:43" x14ac:dyDescent="0.25">
      <c r="AQ4347" s="37"/>
    </row>
    <row r="4348" spans="43:43" x14ac:dyDescent="0.25">
      <c r="AQ4348" s="37"/>
    </row>
    <row r="4349" spans="43:43" x14ac:dyDescent="0.25">
      <c r="AQ4349" s="37"/>
    </row>
    <row r="4350" spans="43:43" x14ac:dyDescent="0.25">
      <c r="AQ4350" s="37"/>
    </row>
    <row r="4351" spans="43:43" x14ac:dyDescent="0.25">
      <c r="AQ4351" s="37"/>
    </row>
    <row r="4352" spans="43:43" x14ac:dyDescent="0.25">
      <c r="AQ4352" s="37"/>
    </row>
    <row r="4353" spans="43:43" x14ac:dyDescent="0.25">
      <c r="AQ4353" s="37"/>
    </row>
    <row r="4354" spans="43:43" x14ac:dyDescent="0.25">
      <c r="AQ4354" s="37"/>
    </row>
    <row r="4355" spans="43:43" x14ac:dyDescent="0.25">
      <c r="AQ4355" s="37"/>
    </row>
    <row r="4356" spans="43:43" x14ac:dyDescent="0.25">
      <c r="AQ4356" s="37"/>
    </row>
    <row r="4357" spans="43:43" x14ac:dyDescent="0.25">
      <c r="AQ4357" s="37"/>
    </row>
    <row r="4358" spans="43:43" x14ac:dyDescent="0.25">
      <c r="AQ4358" s="37"/>
    </row>
    <row r="4359" spans="43:43" x14ac:dyDescent="0.25">
      <c r="AQ4359" s="37"/>
    </row>
    <row r="4360" spans="43:43" x14ac:dyDescent="0.25">
      <c r="AQ4360" s="37"/>
    </row>
    <row r="4361" spans="43:43" x14ac:dyDescent="0.25">
      <c r="AQ4361" s="37"/>
    </row>
    <row r="4362" spans="43:43" x14ac:dyDescent="0.25">
      <c r="AQ4362" s="37"/>
    </row>
    <row r="4363" spans="43:43" x14ac:dyDescent="0.25">
      <c r="AQ4363" s="37"/>
    </row>
    <row r="4364" spans="43:43" x14ac:dyDescent="0.25">
      <c r="AQ4364" s="37"/>
    </row>
    <row r="4365" spans="43:43" x14ac:dyDescent="0.25">
      <c r="AQ4365" s="37"/>
    </row>
    <row r="4366" spans="43:43" x14ac:dyDescent="0.25">
      <c r="AQ4366" s="37"/>
    </row>
    <row r="4367" spans="43:43" x14ac:dyDescent="0.25">
      <c r="AQ4367" s="37"/>
    </row>
    <row r="4368" spans="43:43" x14ac:dyDescent="0.25">
      <c r="AQ4368" s="37"/>
    </row>
    <row r="4369" spans="43:43" x14ac:dyDescent="0.25">
      <c r="AQ4369" s="37"/>
    </row>
    <row r="4370" spans="43:43" x14ac:dyDescent="0.25">
      <c r="AQ4370" s="37"/>
    </row>
    <row r="4371" spans="43:43" x14ac:dyDescent="0.25">
      <c r="AQ4371" s="37"/>
    </row>
    <row r="4372" spans="43:43" x14ac:dyDescent="0.25">
      <c r="AQ4372" s="37"/>
    </row>
    <row r="4373" spans="43:43" x14ac:dyDescent="0.25">
      <c r="AQ4373" s="37"/>
    </row>
    <row r="4374" spans="43:43" x14ac:dyDescent="0.25">
      <c r="AQ4374" s="37"/>
    </row>
    <row r="4375" spans="43:43" x14ac:dyDescent="0.25">
      <c r="AQ4375" s="37"/>
    </row>
    <row r="4376" spans="43:43" x14ac:dyDescent="0.25">
      <c r="AQ4376" s="37"/>
    </row>
    <row r="4377" spans="43:43" x14ac:dyDescent="0.25">
      <c r="AQ4377" s="37"/>
    </row>
    <row r="4378" spans="43:43" x14ac:dyDescent="0.25">
      <c r="AQ4378" s="37"/>
    </row>
    <row r="4379" spans="43:43" x14ac:dyDescent="0.25">
      <c r="AQ4379" s="37"/>
    </row>
    <row r="4380" spans="43:43" x14ac:dyDescent="0.25">
      <c r="AQ4380" s="37"/>
    </row>
    <row r="4381" spans="43:43" x14ac:dyDescent="0.25">
      <c r="AQ4381" s="37"/>
    </row>
    <row r="4382" spans="43:43" x14ac:dyDescent="0.25">
      <c r="AQ4382" s="37"/>
    </row>
    <row r="4383" spans="43:43" x14ac:dyDescent="0.25">
      <c r="AQ4383" s="37"/>
    </row>
    <row r="4384" spans="43:43" x14ac:dyDescent="0.25">
      <c r="AQ4384" s="37"/>
    </row>
    <row r="4385" spans="43:43" x14ac:dyDescent="0.25">
      <c r="AQ4385" s="37"/>
    </row>
    <row r="4386" spans="43:43" x14ac:dyDescent="0.25">
      <c r="AQ4386" s="37"/>
    </row>
    <row r="4387" spans="43:43" x14ac:dyDescent="0.25">
      <c r="AQ4387" s="37"/>
    </row>
    <row r="4388" spans="43:43" x14ac:dyDescent="0.25">
      <c r="AQ4388" s="37"/>
    </row>
    <row r="4389" spans="43:43" x14ac:dyDescent="0.25">
      <c r="AQ4389" s="37"/>
    </row>
    <row r="4390" spans="43:43" x14ac:dyDescent="0.25">
      <c r="AQ4390" s="37"/>
    </row>
    <row r="4391" spans="43:43" x14ac:dyDescent="0.25">
      <c r="AQ4391" s="37"/>
    </row>
    <row r="4392" spans="43:43" x14ac:dyDescent="0.25">
      <c r="AQ4392" s="37"/>
    </row>
    <row r="4393" spans="43:43" x14ac:dyDescent="0.25">
      <c r="AQ4393" s="37"/>
    </row>
    <row r="4394" spans="43:43" x14ac:dyDescent="0.25">
      <c r="AQ4394" s="37"/>
    </row>
    <row r="4395" spans="43:43" x14ac:dyDescent="0.25">
      <c r="AQ4395" s="37"/>
    </row>
    <row r="4396" spans="43:43" x14ac:dyDescent="0.25">
      <c r="AQ4396" s="37"/>
    </row>
    <row r="4397" spans="43:43" x14ac:dyDescent="0.25">
      <c r="AQ4397" s="37"/>
    </row>
    <row r="4398" spans="43:43" x14ac:dyDescent="0.25">
      <c r="AQ4398" s="37"/>
    </row>
    <row r="4399" spans="43:43" x14ac:dyDescent="0.25">
      <c r="AQ4399" s="37"/>
    </row>
    <row r="4400" spans="43:43" x14ac:dyDescent="0.25">
      <c r="AQ4400" s="37"/>
    </row>
    <row r="4401" spans="43:43" x14ac:dyDescent="0.25">
      <c r="AQ4401" s="37"/>
    </row>
    <row r="4402" spans="43:43" x14ac:dyDescent="0.25">
      <c r="AQ4402" s="37"/>
    </row>
    <row r="4403" spans="43:43" x14ac:dyDescent="0.25">
      <c r="AQ4403" s="37"/>
    </row>
    <row r="4404" spans="43:43" x14ac:dyDescent="0.25">
      <c r="AQ4404" s="37"/>
    </row>
    <row r="4405" spans="43:43" x14ac:dyDescent="0.25">
      <c r="AQ4405" s="37"/>
    </row>
    <row r="4406" spans="43:43" x14ac:dyDescent="0.25">
      <c r="AQ4406" s="37"/>
    </row>
    <row r="4407" spans="43:43" x14ac:dyDescent="0.25">
      <c r="AQ4407" s="37"/>
    </row>
    <row r="4408" spans="43:43" x14ac:dyDescent="0.25">
      <c r="AQ4408" s="37"/>
    </row>
    <row r="4409" spans="43:43" x14ac:dyDescent="0.25">
      <c r="AQ4409" s="37"/>
    </row>
    <row r="4410" spans="43:43" x14ac:dyDescent="0.25">
      <c r="AQ4410" s="37"/>
    </row>
    <row r="4411" spans="43:43" x14ac:dyDescent="0.25">
      <c r="AQ4411" s="37"/>
    </row>
    <row r="4412" spans="43:43" x14ac:dyDescent="0.25">
      <c r="AQ4412" s="37"/>
    </row>
    <row r="4413" spans="43:43" x14ac:dyDescent="0.25">
      <c r="AQ4413" s="37"/>
    </row>
    <row r="4414" spans="43:43" x14ac:dyDescent="0.25">
      <c r="AQ4414" s="37"/>
    </row>
    <row r="4415" spans="43:43" x14ac:dyDescent="0.25">
      <c r="AQ4415" s="37"/>
    </row>
    <row r="4416" spans="43:43" x14ac:dyDescent="0.25">
      <c r="AQ4416" s="37"/>
    </row>
    <row r="4417" spans="43:43" x14ac:dyDescent="0.25">
      <c r="AQ4417" s="37"/>
    </row>
    <row r="4418" spans="43:43" x14ac:dyDescent="0.25">
      <c r="AQ4418" s="37"/>
    </row>
    <row r="4419" spans="43:43" x14ac:dyDescent="0.25">
      <c r="AQ4419" s="37"/>
    </row>
    <row r="4420" spans="43:43" x14ac:dyDescent="0.25">
      <c r="AQ4420" s="37"/>
    </row>
    <row r="4421" spans="43:43" x14ac:dyDescent="0.25">
      <c r="AQ4421" s="37"/>
    </row>
    <row r="4422" spans="43:43" x14ac:dyDescent="0.25">
      <c r="AQ4422" s="37"/>
    </row>
    <row r="4423" spans="43:43" x14ac:dyDescent="0.25">
      <c r="AQ4423" s="37"/>
    </row>
    <row r="4424" spans="43:43" x14ac:dyDescent="0.25">
      <c r="AQ4424" s="37"/>
    </row>
    <row r="4425" spans="43:43" x14ac:dyDescent="0.25">
      <c r="AQ4425" s="37"/>
    </row>
    <row r="4426" spans="43:43" x14ac:dyDescent="0.25">
      <c r="AQ4426" s="37"/>
    </row>
    <row r="4427" spans="43:43" x14ac:dyDescent="0.25">
      <c r="AQ4427" s="37"/>
    </row>
    <row r="4428" spans="43:43" x14ac:dyDescent="0.25">
      <c r="AQ4428" s="37"/>
    </row>
    <row r="4429" spans="43:43" x14ac:dyDescent="0.25">
      <c r="AQ4429" s="37"/>
    </row>
    <row r="4430" spans="43:43" x14ac:dyDescent="0.25">
      <c r="AQ4430" s="37"/>
    </row>
    <row r="4431" spans="43:43" x14ac:dyDescent="0.25">
      <c r="AQ4431" s="37"/>
    </row>
    <row r="4432" spans="43:43" x14ac:dyDescent="0.25">
      <c r="AQ4432" s="37"/>
    </row>
    <row r="4433" spans="43:43" x14ac:dyDescent="0.25">
      <c r="AQ4433" s="37"/>
    </row>
    <row r="4434" spans="43:43" x14ac:dyDescent="0.25">
      <c r="AQ4434" s="37"/>
    </row>
    <row r="4435" spans="43:43" x14ac:dyDescent="0.25">
      <c r="AQ4435" s="37"/>
    </row>
    <row r="4436" spans="43:43" x14ac:dyDescent="0.25">
      <c r="AQ4436" s="37"/>
    </row>
    <row r="4437" spans="43:43" x14ac:dyDescent="0.25">
      <c r="AQ4437" s="37"/>
    </row>
    <row r="4438" spans="43:43" x14ac:dyDescent="0.25">
      <c r="AQ4438" s="37"/>
    </row>
    <row r="4439" spans="43:43" x14ac:dyDescent="0.25">
      <c r="AQ4439" s="37"/>
    </row>
    <row r="4440" spans="43:43" x14ac:dyDescent="0.25">
      <c r="AQ4440" s="37"/>
    </row>
    <row r="4441" spans="43:43" x14ac:dyDescent="0.25">
      <c r="AQ4441" s="37"/>
    </row>
    <row r="4442" spans="43:43" x14ac:dyDescent="0.25">
      <c r="AQ4442" s="37"/>
    </row>
    <row r="4443" spans="43:43" x14ac:dyDescent="0.25">
      <c r="AQ4443" s="37"/>
    </row>
    <row r="4444" spans="43:43" x14ac:dyDescent="0.25">
      <c r="AQ4444" s="37"/>
    </row>
    <row r="4445" spans="43:43" x14ac:dyDescent="0.25">
      <c r="AQ4445" s="37"/>
    </row>
    <row r="4446" spans="43:43" x14ac:dyDescent="0.25">
      <c r="AQ4446" s="37"/>
    </row>
    <row r="4447" spans="43:43" x14ac:dyDescent="0.25">
      <c r="AQ4447" s="37"/>
    </row>
    <row r="4448" spans="43:43" x14ac:dyDescent="0.25">
      <c r="AQ4448" s="37"/>
    </row>
    <row r="4449" spans="43:43" x14ac:dyDescent="0.25">
      <c r="AQ4449" s="37"/>
    </row>
    <row r="4450" spans="43:43" x14ac:dyDescent="0.25">
      <c r="AQ4450" s="37"/>
    </row>
    <row r="4451" spans="43:43" x14ac:dyDescent="0.25">
      <c r="AQ4451" s="37"/>
    </row>
    <row r="4452" spans="43:43" x14ac:dyDescent="0.25">
      <c r="AQ4452" s="37"/>
    </row>
    <row r="4453" spans="43:43" x14ac:dyDescent="0.25">
      <c r="AQ4453" s="37"/>
    </row>
    <row r="4454" spans="43:43" x14ac:dyDescent="0.25">
      <c r="AQ4454" s="37"/>
    </row>
    <row r="4455" spans="43:43" x14ac:dyDescent="0.25">
      <c r="AQ4455" s="37"/>
    </row>
    <row r="4456" spans="43:43" x14ac:dyDescent="0.25">
      <c r="AQ4456" s="37"/>
    </row>
    <row r="4457" spans="43:43" x14ac:dyDescent="0.25">
      <c r="AQ4457" s="37"/>
    </row>
    <row r="4458" spans="43:43" x14ac:dyDescent="0.25">
      <c r="AQ4458" s="37"/>
    </row>
    <row r="4459" spans="43:43" x14ac:dyDescent="0.25">
      <c r="AQ4459" s="37"/>
    </row>
    <row r="4460" spans="43:43" x14ac:dyDescent="0.25">
      <c r="AQ4460" s="37"/>
    </row>
    <row r="4461" spans="43:43" x14ac:dyDescent="0.25">
      <c r="AQ4461" s="37"/>
    </row>
    <row r="4462" spans="43:43" x14ac:dyDescent="0.25">
      <c r="AQ4462" s="37"/>
    </row>
    <row r="4463" spans="43:43" x14ac:dyDescent="0.25">
      <c r="AQ4463" s="37"/>
    </row>
    <row r="4464" spans="43:43" x14ac:dyDescent="0.25">
      <c r="AQ4464" s="37"/>
    </row>
    <row r="4465" spans="43:43" x14ac:dyDescent="0.25">
      <c r="AQ4465" s="37"/>
    </row>
    <row r="4466" spans="43:43" x14ac:dyDescent="0.25">
      <c r="AQ4466" s="37"/>
    </row>
    <row r="4467" spans="43:43" x14ac:dyDescent="0.25">
      <c r="AQ4467" s="37"/>
    </row>
    <row r="4468" spans="43:43" x14ac:dyDescent="0.25">
      <c r="AQ4468" s="37"/>
    </row>
    <row r="4469" spans="43:43" x14ac:dyDescent="0.25">
      <c r="AQ4469" s="37"/>
    </row>
    <row r="4470" spans="43:43" x14ac:dyDescent="0.25">
      <c r="AQ4470" s="37"/>
    </row>
    <row r="4471" spans="43:43" x14ac:dyDescent="0.25">
      <c r="AQ4471" s="37"/>
    </row>
    <row r="4472" spans="43:43" x14ac:dyDescent="0.25">
      <c r="AQ4472" s="37"/>
    </row>
    <row r="4473" spans="43:43" x14ac:dyDescent="0.25">
      <c r="AQ4473" s="37"/>
    </row>
    <row r="4474" spans="43:43" x14ac:dyDescent="0.25">
      <c r="AQ4474" s="37"/>
    </row>
    <row r="4475" spans="43:43" x14ac:dyDescent="0.25">
      <c r="AQ4475" s="37"/>
    </row>
    <row r="4476" spans="43:43" x14ac:dyDescent="0.25">
      <c r="AQ4476" s="37"/>
    </row>
    <row r="4477" spans="43:43" x14ac:dyDescent="0.25">
      <c r="AQ4477" s="37"/>
    </row>
    <row r="4478" spans="43:43" x14ac:dyDescent="0.25">
      <c r="AQ4478" s="37"/>
    </row>
    <row r="4479" spans="43:43" x14ac:dyDescent="0.25">
      <c r="AQ4479" s="37"/>
    </row>
    <row r="4480" spans="43:43" x14ac:dyDescent="0.25">
      <c r="AQ4480" s="37"/>
    </row>
    <row r="4481" spans="43:43" x14ac:dyDescent="0.25">
      <c r="AQ4481" s="37"/>
    </row>
    <row r="4482" spans="43:43" x14ac:dyDescent="0.25">
      <c r="AQ4482" s="37"/>
    </row>
    <row r="4483" spans="43:43" x14ac:dyDescent="0.25">
      <c r="AQ4483" s="37"/>
    </row>
    <row r="4484" spans="43:43" x14ac:dyDescent="0.25">
      <c r="AQ4484" s="37"/>
    </row>
    <row r="4485" spans="43:43" x14ac:dyDescent="0.25">
      <c r="AQ4485" s="37"/>
    </row>
    <row r="4486" spans="43:43" x14ac:dyDescent="0.25">
      <c r="AQ4486" s="37"/>
    </row>
    <row r="4487" spans="43:43" x14ac:dyDescent="0.25">
      <c r="AQ4487" s="37"/>
    </row>
    <row r="4488" spans="43:43" x14ac:dyDescent="0.25">
      <c r="AQ4488" s="37"/>
    </row>
    <row r="4489" spans="43:43" x14ac:dyDescent="0.25">
      <c r="AQ4489" s="37"/>
    </row>
    <row r="4490" spans="43:43" x14ac:dyDescent="0.25">
      <c r="AQ4490" s="37"/>
    </row>
    <row r="4491" spans="43:43" x14ac:dyDescent="0.25">
      <c r="AQ4491" s="37"/>
    </row>
    <row r="4492" spans="43:43" x14ac:dyDescent="0.25">
      <c r="AQ4492" s="37"/>
    </row>
    <row r="4493" spans="43:43" x14ac:dyDescent="0.25">
      <c r="AQ4493" s="37"/>
    </row>
    <row r="4494" spans="43:43" x14ac:dyDescent="0.25">
      <c r="AQ4494" s="37"/>
    </row>
    <row r="4495" spans="43:43" x14ac:dyDescent="0.25">
      <c r="AQ4495" s="37"/>
    </row>
    <row r="4496" spans="43:43" x14ac:dyDescent="0.25">
      <c r="AQ4496" s="37"/>
    </row>
    <row r="4497" spans="43:43" x14ac:dyDescent="0.25">
      <c r="AQ4497" s="37"/>
    </row>
    <row r="4498" spans="43:43" x14ac:dyDescent="0.25">
      <c r="AQ4498" s="37"/>
    </row>
    <row r="4499" spans="43:43" x14ac:dyDescent="0.25">
      <c r="AQ4499" s="37"/>
    </row>
    <row r="4500" spans="43:43" x14ac:dyDescent="0.25">
      <c r="AQ4500" s="37"/>
    </row>
    <row r="4501" spans="43:43" x14ac:dyDescent="0.25">
      <c r="AQ4501" s="37"/>
    </row>
    <row r="4502" spans="43:43" x14ac:dyDescent="0.25">
      <c r="AQ4502" s="37"/>
    </row>
    <row r="4503" spans="43:43" x14ac:dyDescent="0.25">
      <c r="AQ4503" s="37"/>
    </row>
    <row r="4504" spans="43:43" x14ac:dyDescent="0.25">
      <c r="AQ4504" s="37"/>
    </row>
    <row r="4505" spans="43:43" x14ac:dyDescent="0.25">
      <c r="AQ4505" s="37"/>
    </row>
    <row r="4506" spans="43:43" x14ac:dyDescent="0.25">
      <c r="AQ4506" s="37"/>
    </row>
    <row r="4507" spans="43:43" x14ac:dyDescent="0.25">
      <c r="AQ4507" s="37"/>
    </row>
    <row r="4508" spans="43:43" x14ac:dyDescent="0.25">
      <c r="AQ4508" s="37"/>
    </row>
    <row r="4509" spans="43:43" x14ac:dyDescent="0.25">
      <c r="AQ4509" s="37"/>
    </row>
    <row r="4510" spans="43:43" x14ac:dyDescent="0.25">
      <c r="AQ4510" s="37"/>
    </row>
    <row r="4511" spans="43:43" x14ac:dyDescent="0.25">
      <c r="AQ4511" s="37"/>
    </row>
    <row r="4512" spans="43:43" x14ac:dyDescent="0.25">
      <c r="AQ4512" s="37"/>
    </row>
    <row r="4513" spans="43:43" x14ac:dyDescent="0.25">
      <c r="AQ4513" s="37"/>
    </row>
    <row r="4514" spans="43:43" x14ac:dyDescent="0.25">
      <c r="AQ4514" s="37"/>
    </row>
    <row r="4515" spans="43:43" x14ac:dyDescent="0.25">
      <c r="AQ4515" s="37"/>
    </row>
    <row r="4516" spans="43:43" x14ac:dyDescent="0.25">
      <c r="AQ4516" s="37"/>
    </row>
    <row r="4517" spans="43:43" x14ac:dyDescent="0.25">
      <c r="AQ4517" s="37"/>
    </row>
    <row r="4518" spans="43:43" x14ac:dyDescent="0.25">
      <c r="AQ4518" s="37"/>
    </row>
    <row r="4519" spans="43:43" x14ac:dyDescent="0.25">
      <c r="AQ4519" s="37"/>
    </row>
    <row r="4520" spans="43:43" x14ac:dyDescent="0.25">
      <c r="AQ4520" s="37"/>
    </row>
    <row r="4521" spans="43:43" x14ac:dyDescent="0.25">
      <c r="AQ4521" s="37"/>
    </row>
    <row r="4522" spans="43:43" x14ac:dyDescent="0.25">
      <c r="AQ4522" s="37"/>
    </row>
    <row r="4523" spans="43:43" x14ac:dyDescent="0.25">
      <c r="AQ4523" s="37"/>
    </row>
    <row r="4524" spans="43:43" x14ac:dyDescent="0.25">
      <c r="AQ4524" s="37"/>
    </row>
    <row r="4525" spans="43:43" x14ac:dyDescent="0.25">
      <c r="AQ4525" s="37"/>
    </row>
    <row r="4526" spans="43:43" x14ac:dyDescent="0.25">
      <c r="AQ4526" s="37"/>
    </row>
    <row r="4527" spans="43:43" x14ac:dyDescent="0.25">
      <c r="AQ4527" s="37"/>
    </row>
    <row r="4528" spans="43:43" x14ac:dyDescent="0.25">
      <c r="AQ4528" s="37"/>
    </row>
    <row r="4529" spans="43:43" x14ac:dyDescent="0.25">
      <c r="AQ4529" s="37"/>
    </row>
    <row r="4530" spans="43:43" x14ac:dyDescent="0.25">
      <c r="AQ4530" s="37"/>
    </row>
    <row r="4531" spans="43:43" x14ac:dyDescent="0.25">
      <c r="AQ4531" s="37"/>
    </row>
    <row r="4532" spans="43:43" x14ac:dyDescent="0.25">
      <c r="AQ4532" s="37"/>
    </row>
    <row r="4533" spans="43:43" x14ac:dyDescent="0.25">
      <c r="AQ4533" s="37"/>
    </row>
    <row r="4534" spans="43:43" x14ac:dyDescent="0.25">
      <c r="AQ4534" s="37"/>
    </row>
    <row r="4535" spans="43:43" x14ac:dyDescent="0.25">
      <c r="AQ4535" s="37"/>
    </row>
    <row r="4536" spans="43:43" x14ac:dyDescent="0.25">
      <c r="AQ4536" s="37"/>
    </row>
    <row r="4537" spans="43:43" x14ac:dyDescent="0.25">
      <c r="AQ4537" s="37"/>
    </row>
    <row r="4538" spans="43:43" x14ac:dyDescent="0.25">
      <c r="AQ4538" s="37"/>
    </row>
    <row r="4539" spans="43:43" x14ac:dyDescent="0.25">
      <c r="AQ4539" s="37"/>
    </row>
    <row r="4540" spans="43:43" x14ac:dyDescent="0.25">
      <c r="AQ4540" s="37"/>
    </row>
    <row r="4541" spans="43:43" x14ac:dyDescent="0.25">
      <c r="AQ4541" s="37"/>
    </row>
    <row r="4542" spans="43:43" x14ac:dyDescent="0.25">
      <c r="AQ4542" s="37"/>
    </row>
    <row r="4543" spans="43:43" x14ac:dyDescent="0.25">
      <c r="AQ4543" s="37"/>
    </row>
    <row r="4544" spans="43:43" x14ac:dyDescent="0.25">
      <c r="AQ4544" s="37"/>
    </row>
    <row r="4545" spans="43:43" x14ac:dyDescent="0.25">
      <c r="AQ4545" s="37"/>
    </row>
    <row r="4546" spans="43:43" x14ac:dyDescent="0.25">
      <c r="AQ4546" s="37"/>
    </row>
    <row r="4547" spans="43:43" x14ac:dyDescent="0.25">
      <c r="AQ4547" s="37"/>
    </row>
    <row r="4548" spans="43:43" x14ac:dyDescent="0.25">
      <c r="AQ4548" s="37"/>
    </row>
    <row r="4549" spans="43:43" x14ac:dyDescent="0.25">
      <c r="AQ4549" s="37"/>
    </row>
    <row r="4550" spans="43:43" x14ac:dyDescent="0.25">
      <c r="AQ4550" s="37"/>
    </row>
    <row r="4551" spans="43:43" x14ac:dyDescent="0.25">
      <c r="AQ4551" s="37"/>
    </row>
    <row r="4552" spans="43:43" x14ac:dyDescent="0.25">
      <c r="AQ4552" s="37"/>
    </row>
    <row r="4553" spans="43:43" x14ac:dyDescent="0.25">
      <c r="AQ4553" s="37"/>
    </row>
    <row r="4554" spans="43:43" x14ac:dyDescent="0.25">
      <c r="AQ4554" s="37"/>
    </row>
    <row r="4555" spans="43:43" x14ac:dyDescent="0.25">
      <c r="AQ4555" s="37"/>
    </row>
    <row r="4556" spans="43:43" x14ac:dyDescent="0.25">
      <c r="AQ4556" s="37"/>
    </row>
    <row r="4557" spans="43:43" x14ac:dyDescent="0.25">
      <c r="AQ4557" s="37"/>
    </row>
    <row r="4558" spans="43:43" x14ac:dyDescent="0.25">
      <c r="AQ4558" s="37"/>
    </row>
    <row r="4559" spans="43:43" x14ac:dyDescent="0.25">
      <c r="AQ4559" s="37"/>
    </row>
    <row r="4560" spans="43:43" x14ac:dyDescent="0.25">
      <c r="AQ4560" s="37"/>
    </row>
    <row r="4561" spans="43:43" x14ac:dyDescent="0.25">
      <c r="AQ4561" s="37"/>
    </row>
    <row r="4562" spans="43:43" x14ac:dyDescent="0.25">
      <c r="AQ4562" s="37"/>
    </row>
    <row r="4563" spans="43:43" x14ac:dyDescent="0.25">
      <c r="AQ4563" s="37"/>
    </row>
    <row r="4564" spans="43:43" x14ac:dyDescent="0.25">
      <c r="AQ4564" s="37"/>
    </row>
    <row r="4565" spans="43:43" x14ac:dyDescent="0.25">
      <c r="AQ4565" s="37"/>
    </row>
    <row r="4566" spans="43:43" x14ac:dyDescent="0.25">
      <c r="AQ4566" s="37"/>
    </row>
    <row r="4567" spans="43:43" x14ac:dyDescent="0.25">
      <c r="AQ4567" s="37"/>
    </row>
    <row r="4568" spans="43:43" x14ac:dyDescent="0.25">
      <c r="AQ4568" s="37"/>
    </row>
    <row r="4569" spans="43:43" x14ac:dyDescent="0.25">
      <c r="AQ4569" s="37"/>
    </row>
    <row r="4570" spans="43:43" x14ac:dyDescent="0.25">
      <c r="AQ4570" s="37"/>
    </row>
    <row r="4571" spans="43:43" x14ac:dyDescent="0.25">
      <c r="AQ4571" s="37"/>
    </row>
    <row r="4572" spans="43:43" x14ac:dyDescent="0.25">
      <c r="AQ4572" s="37"/>
    </row>
    <row r="4573" spans="43:43" x14ac:dyDescent="0.25">
      <c r="AQ4573" s="37"/>
    </row>
    <row r="4574" spans="43:43" x14ac:dyDescent="0.25">
      <c r="AQ4574" s="37"/>
    </row>
    <row r="4575" spans="43:43" x14ac:dyDescent="0.25">
      <c r="AQ4575" s="37"/>
    </row>
    <row r="4576" spans="43:43" x14ac:dyDescent="0.25">
      <c r="AQ4576" s="37"/>
    </row>
    <row r="4577" spans="43:43" x14ac:dyDescent="0.25">
      <c r="AQ4577" s="37"/>
    </row>
    <row r="4578" spans="43:43" x14ac:dyDescent="0.25">
      <c r="AQ4578" s="37"/>
    </row>
    <row r="4579" spans="43:43" x14ac:dyDescent="0.25">
      <c r="AQ4579" s="37"/>
    </row>
    <row r="4580" spans="43:43" x14ac:dyDescent="0.25">
      <c r="AQ4580" s="37"/>
    </row>
    <row r="4581" spans="43:43" x14ac:dyDescent="0.25">
      <c r="AQ4581" s="37"/>
    </row>
    <row r="4582" spans="43:43" x14ac:dyDescent="0.25">
      <c r="AQ4582" s="37"/>
    </row>
    <row r="4583" spans="43:43" x14ac:dyDescent="0.25">
      <c r="AQ4583" s="37"/>
    </row>
    <row r="4584" spans="43:43" x14ac:dyDescent="0.25">
      <c r="AQ4584" s="37"/>
    </row>
    <row r="4585" spans="43:43" x14ac:dyDescent="0.25">
      <c r="AQ4585" s="37"/>
    </row>
    <row r="4586" spans="43:43" x14ac:dyDescent="0.25">
      <c r="AQ4586" s="37"/>
    </row>
    <row r="4587" spans="43:43" x14ac:dyDescent="0.25">
      <c r="AQ4587" s="37"/>
    </row>
    <row r="4588" spans="43:43" x14ac:dyDescent="0.25">
      <c r="AQ4588" s="37"/>
    </row>
    <row r="4589" spans="43:43" x14ac:dyDescent="0.25">
      <c r="AQ4589" s="37"/>
    </row>
    <row r="4590" spans="43:43" x14ac:dyDescent="0.25">
      <c r="AQ4590" s="37"/>
    </row>
    <row r="4591" spans="43:43" x14ac:dyDescent="0.25">
      <c r="AQ4591" s="37"/>
    </row>
    <row r="4592" spans="43:43" x14ac:dyDescent="0.25">
      <c r="AQ4592" s="37"/>
    </row>
    <row r="4593" spans="43:43" x14ac:dyDescent="0.25">
      <c r="AQ4593" s="37"/>
    </row>
    <row r="4594" spans="43:43" x14ac:dyDescent="0.25">
      <c r="AQ4594" s="37"/>
    </row>
    <row r="4595" spans="43:43" x14ac:dyDescent="0.25">
      <c r="AQ4595" s="37"/>
    </row>
    <row r="4596" spans="43:43" x14ac:dyDescent="0.25">
      <c r="AQ4596" s="37"/>
    </row>
    <row r="4597" spans="43:43" x14ac:dyDescent="0.25">
      <c r="AQ4597" s="37"/>
    </row>
    <row r="4598" spans="43:43" x14ac:dyDescent="0.25">
      <c r="AQ4598" s="37"/>
    </row>
    <row r="4599" spans="43:43" x14ac:dyDescent="0.25">
      <c r="AQ4599" s="37"/>
    </row>
    <row r="4600" spans="43:43" x14ac:dyDescent="0.25">
      <c r="AQ4600" s="37"/>
    </row>
    <row r="4601" spans="43:43" x14ac:dyDescent="0.25">
      <c r="AQ4601" s="37"/>
    </row>
    <row r="4602" spans="43:43" x14ac:dyDescent="0.25">
      <c r="AQ4602" s="37"/>
    </row>
    <row r="4603" spans="43:43" x14ac:dyDescent="0.25">
      <c r="AQ4603" s="37"/>
    </row>
    <row r="4604" spans="43:43" x14ac:dyDescent="0.25">
      <c r="AQ4604" s="37"/>
    </row>
    <row r="4605" spans="43:43" x14ac:dyDescent="0.25">
      <c r="AQ4605" s="37"/>
    </row>
    <row r="4606" spans="43:43" x14ac:dyDescent="0.25">
      <c r="AQ4606" s="37"/>
    </row>
    <row r="4607" spans="43:43" x14ac:dyDescent="0.25">
      <c r="AQ4607" s="37"/>
    </row>
    <row r="4608" spans="43:43" x14ac:dyDescent="0.25">
      <c r="AQ4608" s="37"/>
    </row>
    <row r="4609" spans="43:43" x14ac:dyDescent="0.25">
      <c r="AQ4609" s="37"/>
    </row>
    <row r="4610" spans="43:43" x14ac:dyDescent="0.25">
      <c r="AQ4610" s="37"/>
    </row>
    <row r="4611" spans="43:43" x14ac:dyDescent="0.25">
      <c r="AQ4611" s="37"/>
    </row>
    <row r="4612" spans="43:43" x14ac:dyDescent="0.25">
      <c r="AQ4612" s="37"/>
    </row>
    <row r="4613" spans="43:43" x14ac:dyDescent="0.25">
      <c r="AQ4613" s="37"/>
    </row>
    <row r="4614" spans="43:43" x14ac:dyDescent="0.25">
      <c r="AQ4614" s="37"/>
    </row>
    <row r="4615" spans="43:43" x14ac:dyDescent="0.25">
      <c r="AQ4615" s="37"/>
    </row>
    <row r="4616" spans="43:43" x14ac:dyDescent="0.25">
      <c r="AQ4616" s="37"/>
    </row>
    <row r="4617" spans="43:43" x14ac:dyDescent="0.25">
      <c r="AQ4617" s="37"/>
    </row>
    <row r="4618" spans="43:43" x14ac:dyDescent="0.25">
      <c r="AQ4618" s="37"/>
    </row>
    <row r="4619" spans="43:43" x14ac:dyDescent="0.25">
      <c r="AQ4619" s="37"/>
    </row>
    <row r="4620" spans="43:43" x14ac:dyDescent="0.25">
      <c r="AQ4620" s="37"/>
    </row>
    <row r="4621" spans="43:43" x14ac:dyDescent="0.25">
      <c r="AQ4621" s="37"/>
    </row>
    <row r="4622" spans="43:43" x14ac:dyDescent="0.25">
      <c r="AQ4622" s="37"/>
    </row>
    <row r="4623" spans="43:43" x14ac:dyDescent="0.25">
      <c r="AQ4623" s="37"/>
    </row>
    <row r="4624" spans="43:43" x14ac:dyDescent="0.25">
      <c r="AQ4624" s="37"/>
    </row>
    <row r="4625" spans="43:43" x14ac:dyDescent="0.25">
      <c r="AQ4625" s="37"/>
    </row>
    <row r="4626" spans="43:43" x14ac:dyDescent="0.25">
      <c r="AQ4626" s="37"/>
    </row>
    <row r="4627" spans="43:43" x14ac:dyDescent="0.25">
      <c r="AQ4627" s="37"/>
    </row>
    <row r="4628" spans="43:43" x14ac:dyDescent="0.25">
      <c r="AQ4628" s="37"/>
    </row>
    <row r="4629" spans="43:43" x14ac:dyDescent="0.25">
      <c r="AQ4629" s="37"/>
    </row>
    <row r="4630" spans="43:43" x14ac:dyDescent="0.25">
      <c r="AQ4630" s="37"/>
    </row>
    <row r="4631" spans="43:43" x14ac:dyDescent="0.25">
      <c r="AQ4631" s="37"/>
    </row>
    <row r="4632" spans="43:43" x14ac:dyDescent="0.25">
      <c r="AQ4632" s="37"/>
    </row>
    <row r="4633" spans="43:43" x14ac:dyDescent="0.25">
      <c r="AQ4633" s="37"/>
    </row>
    <row r="4634" spans="43:43" x14ac:dyDescent="0.25">
      <c r="AQ4634" s="37"/>
    </row>
    <row r="4635" spans="43:43" x14ac:dyDescent="0.25">
      <c r="AQ4635" s="37"/>
    </row>
    <row r="4636" spans="43:43" x14ac:dyDescent="0.25">
      <c r="AQ4636" s="37"/>
    </row>
    <row r="4637" spans="43:43" x14ac:dyDescent="0.25">
      <c r="AQ4637" s="37"/>
    </row>
    <row r="4638" spans="43:43" x14ac:dyDescent="0.25">
      <c r="AQ4638" s="37"/>
    </row>
    <row r="4639" spans="43:43" x14ac:dyDescent="0.25">
      <c r="AQ4639" s="37"/>
    </row>
    <row r="4640" spans="43:43" x14ac:dyDescent="0.25">
      <c r="AQ4640" s="37"/>
    </row>
    <row r="4641" spans="43:43" x14ac:dyDescent="0.25">
      <c r="AQ4641" s="37"/>
    </row>
    <row r="4642" spans="43:43" x14ac:dyDescent="0.25">
      <c r="AQ4642" s="37"/>
    </row>
    <row r="4643" spans="43:43" x14ac:dyDescent="0.25">
      <c r="AQ4643" s="37"/>
    </row>
    <row r="4644" spans="43:43" x14ac:dyDescent="0.25">
      <c r="AQ4644" s="37"/>
    </row>
    <row r="4645" spans="43:43" x14ac:dyDescent="0.25">
      <c r="AQ4645" s="37"/>
    </row>
    <row r="4646" spans="43:43" x14ac:dyDescent="0.25">
      <c r="AQ4646" s="37"/>
    </row>
    <row r="4647" spans="43:43" x14ac:dyDescent="0.25">
      <c r="AQ4647" s="37"/>
    </row>
    <row r="4648" spans="43:43" x14ac:dyDescent="0.25">
      <c r="AQ4648" s="37"/>
    </row>
    <row r="4649" spans="43:43" x14ac:dyDescent="0.25">
      <c r="AQ4649" s="37"/>
    </row>
    <row r="4650" spans="43:43" x14ac:dyDescent="0.25">
      <c r="AQ4650" s="37"/>
    </row>
    <row r="4651" spans="43:43" x14ac:dyDescent="0.25">
      <c r="AQ4651" s="37"/>
    </row>
    <row r="4652" spans="43:43" x14ac:dyDescent="0.25">
      <c r="AQ4652" s="37"/>
    </row>
    <row r="4653" spans="43:43" x14ac:dyDescent="0.25">
      <c r="AQ4653" s="37"/>
    </row>
    <row r="4654" spans="43:43" x14ac:dyDescent="0.25">
      <c r="AQ4654" s="37"/>
    </row>
    <row r="4655" spans="43:43" x14ac:dyDescent="0.25">
      <c r="AQ4655" s="37"/>
    </row>
    <row r="4656" spans="43:43" x14ac:dyDescent="0.25">
      <c r="AQ4656" s="37"/>
    </row>
    <row r="4657" spans="43:43" x14ac:dyDescent="0.25">
      <c r="AQ4657" s="37"/>
    </row>
    <row r="4658" spans="43:43" x14ac:dyDescent="0.25">
      <c r="AQ4658" s="37"/>
    </row>
    <row r="4659" spans="43:43" x14ac:dyDescent="0.25">
      <c r="AQ4659" s="37"/>
    </row>
    <row r="4660" spans="43:43" x14ac:dyDescent="0.25">
      <c r="AQ4660" s="37"/>
    </row>
    <row r="4661" spans="43:43" x14ac:dyDescent="0.25">
      <c r="AQ4661" s="37"/>
    </row>
    <row r="4662" spans="43:43" x14ac:dyDescent="0.25">
      <c r="AQ4662" s="37"/>
    </row>
    <row r="4663" spans="43:43" x14ac:dyDescent="0.25">
      <c r="AQ4663" s="37"/>
    </row>
    <row r="4664" spans="43:43" x14ac:dyDescent="0.25">
      <c r="AQ4664" s="37"/>
    </row>
    <row r="4665" spans="43:43" x14ac:dyDescent="0.25">
      <c r="AQ4665" s="37"/>
    </row>
    <row r="4666" spans="43:43" x14ac:dyDescent="0.25">
      <c r="AQ4666" s="37"/>
    </row>
    <row r="4667" spans="43:43" x14ac:dyDescent="0.25">
      <c r="AQ4667" s="37"/>
    </row>
    <row r="4668" spans="43:43" x14ac:dyDescent="0.25">
      <c r="AQ4668" s="37"/>
    </row>
    <row r="4669" spans="43:43" x14ac:dyDescent="0.25">
      <c r="AQ4669" s="37"/>
    </row>
    <row r="4670" spans="43:43" x14ac:dyDescent="0.25">
      <c r="AQ4670" s="37"/>
    </row>
    <row r="4671" spans="43:43" x14ac:dyDescent="0.25">
      <c r="AQ4671" s="37"/>
    </row>
    <row r="4672" spans="43:43" x14ac:dyDescent="0.25">
      <c r="AQ4672" s="37"/>
    </row>
    <row r="4673" spans="43:43" x14ac:dyDescent="0.25">
      <c r="AQ4673" s="37"/>
    </row>
    <row r="4674" spans="43:43" x14ac:dyDescent="0.25">
      <c r="AQ4674" s="37"/>
    </row>
    <row r="4675" spans="43:43" x14ac:dyDescent="0.25">
      <c r="AQ4675" s="37"/>
    </row>
    <row r="4676" spans="43:43" x14ac:dyDescent="0.25">
      <c r="AQ4676" s="37"/>
    </row>
    <row r="4677" spans="43:43" x14ac:dyDescent="0.25">
      <c r="AQ4677" s="37"/>
    </row>
    <row r="4678" spans="43:43" x14ac:dyDescent="0.25">
      <c r="AQ4678" s="37"/>
    </row>
    <row r="4679" spans="43:43" x14ac:dyDescent="0.25">
      <c r="AQ4679" s="37"/>
    </row>
    <row r="4680" spans="43:43" x14ac:dyDescent="0.25">
      <c r="AQ4680" s="37"/>
    </row>
    <row r="4681" spans="43:43" x14ac:dyDescent="0.25">
      <c r="AQ4681" s="37"/>
    </row>
    <row r="4682" spans="43:43" x14ac:dyDescent="0.25">
      <c r="AQ4682" s="37"/>
    </row>
    <row r="4683" spans="43:43" x14ac:dyDescent="0.25">
      <c r="AQ4683" s="37"/>
    </row>
    <row r="4684" spans="43:43" x14ac:dyDescent="0.25">
      <c r="AQ4684" s="37"/>
    </row>
    <row r="4685" spans="43:43" x14ac:dyDescent="0.25">
      <c r="AQ4685" s="37"/>
    </row>
    <row r="4686" spans="43:43" x14ac:dyDescent="0.25">
      <c r="AQ4686" s="37"/>
    </row>
    <row r="4687" spans="43:43" x14ac:dyDescent="0.25">
      <c r="AQ4687" s="37"/>
    </row>
    <row r="4688" spans="43:43" x14ac:dyDescent="0.25">
      <c r="AQ4688" s="37"/>
    </row>
    <row r="4689" spans="43:43" x14ac:dyDescent="0.25">
      <c r="AQ4689" s="37"/>
    </row>
    <row r="4690" spans="43:43" x14ac:dyDescent="0.25">
      <c r="AQ4690" s="37"/>
    </row>
    <row r="4691" spans="43:43" x14ac:dyDescent="0.25">
      <c r="AQ4691" s="37"/>
    </row>
    <row r="4692" spans="43:43" x14ac:dyDescent="0.25">
      <c r="AQ4692" s="37"/>
    </row>
    <row r="4693" spans="43:43" x14ac:dyDescent="0.25">
      <c r="AQ4693" s="37"/>
    </row>
    <row r="4694" spans="43:43" x14ac:dyDescent="0.25">
      <c r="AQ4694" s="37"/>
    </row>
    <row r="4695" spans="43:43" x14ac:dyDescent="0.25">
      <c r="AQ4695" s="37"/>
    </row>
    <row r="4696" spans="43:43" x14ac:dyDescent="0.25">
      <c r="AQ4696" s="37"/>
    </row>
    <row r="4697" spans="43:43" x14ac:dyDescent="0.25">
      <c r="AQ4697" s="37"/>
    </row>
    <row r="4698" spans="43:43" x14ac:dyDescent="0.25">
      <c r="AQ4698" s="37"/>
    </row>
    <row r="4699" spans="43:43" x14ac:dyDescent="0.25">
      <c r="AQ4699" s="37"/>
    </row>
    <row r="4700" spans="43:43" x14ac:dyDescent="0.25">
      <c r="AQ4700" s="37"/>
    </row>
    <row r="4701" spans="43:43" x14ac:dyDescent="0.25">
      <c r="AQ4701" s="37"/>
    </row>
    <row r="4702" spans="43:43" x14ac:dyDescent="0.25">
      <c r="AQ4702" s="37"/>
    </row>
    <row r="4703" spans="43:43" x14ac:dyDescent="0.25">
      <c r="AQ4703" s="37"/>
    </row>
    <row r="4704" spans="43:43" x14ac:dyDescent="0.25">
      <c r="AQ4704" s="37"/>
    </row>
    <row r="4705" spans="43:43" x14ac:dyDescent="0.25">
      <c r="AQ4705" s="37"/>
    </row>
    <row r="4706" spans="43:43" x14ac:dyDescent="0.25">
      <c r="AQ4706" s="37"/>
    </row>
    <row r="4707" spans="43:43" x14ac:dyDescent="0.25">
      <c r="AQ4707" s="37"/>
    </row>
    <row r="4708" spans="43:43" x14ac:dyDescent="0.25">
      <c r="AQ4708" s="37"/>
    </row>
    <row r="4709" spans="43:43" x14ac:dyDescent="0.25">
      <c r="AQ4709" s="37"/>
    </row>
    <row r="4710" spans="43:43" x14ac:dyDescent="0.25">
      <c r="AQ4710" s="37"/>
    </row>
    <row r="4711" spans="43:43" x14ac:dyDescent="0.25">
      <c r="AQ4711" s="37"/>
    </row>
    <row r="4712" spans="43:43" x14ac:dyDescent="0.25">
      <c r="AQ4712" s="37"/>
    </row>
    <row r="4713" spans="43:43" x14ac:dyDescent="0.25">
      <c r="AQ4713" s="37"/>
    </row>
    <row r="4714" spans="43:43" x14ac:dyDescent="0.25">
      <c r="AQ4714" s="37"/>
    </row>
    <row r="4715" spans="43:43" x14ac:dyDescent="0.25">
      <c r="AQ4715" s="37"/>
    </row>
    <row r="4716" spans="43:43" x14ac:dyDescent="0.25">
      <c r="AQ4716" s="37"/>
    </row>
    <row r="4717" spans="43:43" x14ac:dyDescent="0.25">
      <c r="AQ4717" s="37"/>
    </row>
    <row r="4718" spans="43:43" x14ac:dyDescent="0.25">
      <c r="AQ4718" s="37"/>
    </row>
    <row r="4719" spans="43:43" x14ac:dyDescent="0.25">
      <c r="AQ4719" s="37"/>
    </row>
    <row r="4720" spans="43:43" x14ac:dyDescent="0.25">
      <c r="AQ4720" s="37"/>
    </row>
    <row r="4721" spans="43:43" x14ac:dyDescent="0.25">
      <c r="AQ4721" s="37"/>
    </row>
    <row r="4722" spans="43:43" x14ac:dyDescent="0.25">
      <c r="AQ4722" s="37"/>
    </row>
    <row r="4723" spans="43:43" x14ac:dyDescent="0.25">
      <c r="AQ4723" s="37"/>
    </row>
    <row r="4724" spans="43:43" x14ac:dyDescent="0.25">
      <c r="AQ4724" s="37"/>
    </row>
    <row r="4725" spans="43:43" x14ac:dyDescent="0.25">
      <c r="AQ4725" s="37"/>
    </row>
    <row r="4726" spans="43:43" x14ac:dyDescent="0.25">
      <c r="AQ4726" s="37"/>
    </row>
    <row r="4727" spans="43:43" x14ac:dyDescent="0.25">
      <c r="AQ4727" s="37"/>
    </row>
    <row r="4728" spans="43:43" x14ac:dyDescent="0.25">
      <c r="AQ4728" s="37"/>
    </row>
    <row r="4729" spans="43:43" x14ac:dyDescent="0.25">
      <c r="AQ4729" s="37"/>
    </row>
    <row r="4730" spans="43:43" x14ac:dyDescent="0.25">
      <c r="AQ4730" s="37"/>
    </row>
    <row r="4731" spans="43:43" x14ac:dyDescent="0.25">
      <c r="AQ4731" s="37"/>
    </row>
    <row r="4732" spans="43:43" x14ac:dyDescent="0.25">
      <c r="AQ4732" s="37"/>
    </row>
    <row r="4733" spans="43:43" x14ac:dyDescent="0.25">
      <c r="AQ4733" s="37"/>
    </row>
    <row r="4734" spans="43:43" x14ac:dyDescent="0.25">
      <c r="AQ4734" s="37"/>
    </row>
    <row r="4735" spans="43:43" x14ac:dyDescent="0.25">
      <c r="AQ4735" s="37"/>
    </row>
    <row r="4736" spans="43:43" x14ac:dyDescent="0.25">
      <c r="AQ4736" s="37"/>
    </row>
    <row r="4737" spans="43:43" x14ac:dyDescent="0.25">
      <c r="AQ4737" s="37"/>
    </row>
    <row r="4738" spans="43:43" x14ac:dyDescent="0.25">
      <c r="AQ4738" s="37"/>
    </row>
    <row r="4739" spans="43:43" x14ac:dyDescent="0.25">
      <c r="AQ4739" s="37"/>
    </row>
    <row r="4740" spans="43:43" x14ac:dyDescent="0.25">
      <c r="AQ4740" s="37"/>
    </row>
    <row r="4741" spans="43:43" x14ac:dyDescent="0.25">
      <c r="AQ4741" s="37"/>
    </row>
    <row r="4742" spans="43:43" x14ac:dyDescent="0.25">
      <c r="AQ4742" s="37"/>
    </row>
    <row r="4743" spans="43:43" x14ac:dyDescent="0.25">
      <c r="AQ4743" s="37"/>
    </row>
    <row r="4744" spans="43:43" x14ac:dyDescent="0.25">
      <c r="AQ4744" s="37"/>
    </row>
    <row r="4745" spans="43:43" x14ac:dyDescent="0.25">
      <c r="AQ4745" s="37"/>
    </row>
    <row r="4746" spans="43:43" x14ac:dyDescent="0.25">
      <c r="AQ4746" s="37"/>
    </row>
    <row r="4747" spans="43:43" x14ac:dyDescent="0.25">
      <c r="AQ4747" s="37"/>
    </row>
    <row r="4748" spans="43:43" x14ac:dyDescent="0.25">
      <c r="AQ4748" s="37"/>
    </row>
    <row r="4749" spans="43:43" x14ac:dyDescent="0.25">
      <c r="AQ4749" s="37"/>
    </row>
    <row r="4750" spans="43:43" x14ac:dyDescent="0.25">
      <c r="AQ4750" s="37"/>
    </row>
    <row r="4751" spans="43:43" x14ac:dyDescent="0.25">
      <c r="AQ4751" s="37"/>
    </row>
    <row r="4752" spans="43:43" x14ac:dyDescent="0.25">
      <c r="AQ4752" s="37"/>
    </row>
    <row r="4753" spans="43:43" x14ac:dyDescent="0.25">
      <c r="AQ4753" s="37"/>
    </row>
    <row r="4754" spans="43:43" x14ac:dyDescent="0.25">
      <c r="AQ4754" s="37"/>
    </row>
    <row r="4755" spans="43:43" x14ac:dyDescent="0.25">
      <c r="AQ4755" s="37"/>
    </row>
    <row r="4756" spans="43:43" x14ac:dyDescent="0.25">
      <c r="AQ4756" s="37"/>
    </row>
    <row r="4757" spans="43:43" x14ac:dyDescent="0.25">
      <c r="AQ4757" s="37"/>
    </row>
    <row r="4758" spans="43:43" x14ac:dyDescent="0.25">
      <c r="AQ4758" s="37"/>
    </row>
    <row r="4759" spans="43:43" x14ac:dyDescent="0.25">
      <c r="AQ4759" s="37"/>
    </row>
    <row r="4760" spans="43:43" x14ac:dyDescent="0.25">
      <c r="AQ4760" s="37"/>
    </row>
    <row r="4761" spans="43:43" x14ac:dyDescent="0.25">
      <c r="AQ4761" s="37"/>
    </row>
    <row r="4762" spans="43:43" x14ac:dyDescent="0.25">
      <c r="AQ4762" s="37"/>
    </row>
    <row r="4763" spans="43:43" x14ac:dyDescent="0.25">
      <c r="AQ4763" s="37"/>
    </row>
    <row r="4764" spans="43:43" x14ac:dyDescent="0.25">
      <c r="AQ4764" s="37"/>
    </row>
    <row r="4765" spans="43:43" x14ac:dyDescent="0.25">
      <c r="AQ4765" s="37"/>
    </row>
    <row r="4766" spans="43:43" x14ac:dyDescent="0.25">
      <c r="AQ4766" s="37"/>
    </row>
    <row r="4767" spans="43:43" x14ac:dyDescent="0.25">
      <c r="AQ4767" s="37"/>
    </row>
    <row r="4768" spans="43:43" x14ac:dyDescent="0.25">
      <c r="AQ4768" s="37"/>
    </row>
    <row r="4769" spans="43:43" x14ac:dyDescent="0.25">
      <c r="AQ4769" s="37"/>
    </row>
    <row r="4770" spans="43:43" x14ac:dyDescent="0.25">
      <c r="AQ4770" s="37"/>
    </row>
    <row r="4771" spans="43:43" x14ac:dyDescent="0.25">
      <c r="AQ4771" s="37"/>
    </row>
    <row r="4772" spans="43:43" x14ac:dyDescent="0.25">
      <c r="AQ4772" s="37"/>
    </row>
    <row r="4773" spans="43:43" x14ac:dyDescent="0.25">
      <c r="AQ4773" s="37"/>
    </row>
    <row r="4774" spans="43:43" x14ac:dyDescent="0.25">
      <c r="AQ4774" s="37"/>
    </row>
    <row r="4775" spans="43:43" x14ac:dyDescent="0.25">
      <c r="AQ4775" s="37"/>
    </row>
    <row r="4776" spans="43:43" x14ac:dyDescent="0.25">
      <c r="AQ4776" s="37"/>
    </row>
    <row r="4777" spans="43:43" x14ac:dyDescent="0.25">
      <c r="AQ4777" s="37"/>
    </row>
    <row r="4778" spans="43:43" x14ac:dyDescent="0.25">
      <c r="AQ4778" s="37"/>
    </row>
    <row r="4779" spans="43:43" x14ac:dyDescent="0.25">
      <c r="AQ4779" s="37"/>
    </row>
    <row r="4780" spans="43:43" x14ac:dyDescent="0.25">
      <c r="AQ4780" s="37"/>
    </row>
    <row r="4781" spans="43:43" x14ac:dyDescent="0.25">
      <c r="AQ4781" s="37"/>
    </row>
    <row r="4782" spans="43:43" x14ac:dyDescent="0.25">
      <c r="AQ4782" s="37"/>
    </row>
    <row r="4783" spans="43:43" x14ac:dyDescent="0.25">
      <c r="AQ4783" s="37"/>
    </row>
    <row r="4784" spans="43:43" x14ac:dyDescent="0.25">
      <c r="AQ4784" s="37"/>
    </row>
    <row r="4785" spans="43:43" x14ac:dyDescent="0.25">
      <c r="AQ4785" s="37"/>
    </row>
    <row r="4786" spans="43:43" x14ac:dyDescent="0.25">
      <c r="AQ4786" s="37"/>
    </row>
    <row r="4787" spans="43:43" x14ac:dyDescent="0.25">
      <c r="AQ4787" s="37"/>
    </row>
    <row r="4788" spans="43:43" x14ac:dyDescent="0.25">
      <c r="AQ4788" s="37"/>
    </row>
    <row r="4789" spans="43:43" x14ac:dyDescent="0.25">
      <c r="AQ4789" s="37"/>
    </row>
    <row r="4790" spans="43:43" x14ac:dyDescent="0.25">
      <c r="AQ4790" s="37"/>
    </row>
    <row r="4791" spans="43:43" x14ac:dyDescent="0.25">
      <c r="AQ4791" s="37"/>
    </row>
    <row r="4792" spans="43:43" x14ac:dyDescent="0.25">
      <c r="AQ4792" s="37"/>
    </row>
    <row r="4793" spans="43:43" x14ac:dyDescent="0.25">
      <c r="AQ4793" s="37"/>
    </row>
    <row r="4794" spans="43:43" x14ac:dyDescent="0.25">
      <c r="AQ4794" s="37"/>
    </row>
    <row r="4795" spans="43:43" x14ac:dyDescent="0.25">
      <c r="AQ4795" s="37"/>
    </row>
    <row r="4796" spans="43:43" x14ac:dyDescent="0.25">
      <c r="AQ4796" s="37"/>
    </row>
    <row r="4797" spans="43:43" x14ac:dyDescent="0.25">
      <c r="AQ4797" s="37"/>
    </row>
    <row r="4798" spans="43:43" x14ac:dyDescent="0.25">
      <c r="AQ4798" s="37"/>
    </row>
    <row r="4799" spans="43:43" x14ac:dyDescent="0.25">
      <c r="AQ4799" s="37"/>
    </row>
    <row r="4800" spans="43:43" x14ac:dyDescent="0.25">
      <c r="AQ4800" s="37"/>
    </row>
    <row r="4801" spans="43:43" x14ac:dyDescent="0.25">
      <c r="AQ4801" s="37"/>
    </row>
    <row r="4802" spans="43:43" x14ac:dyDescent="0.25">
      <c r="AQ4802" s="37"/>
    </row>
    <row r="4803" spans="43:43" x14ac:dyDescent="0.25">
      <c r="AQ4803" s="37"/>
    </row>
    <row r="4804" spans="43:43" x14ac:dyDescent="0.25">
      <c r="AQ4804" s="37"/>
    </row>
    <row r="4805" spans="43:43" x14ac:dyDescent="0.25">
      <c r="AQ4805" s="37"/>
    </row>
    <row r="4806" spans="43:43" x14ac:dyDescent="0.25">
      <c r="AQ4806" s="37"/>
    </row>
    <row r="4807" spans="43:43" x14ac:dyDescent="0.25">
      <c r="AQ4807" s="37"/>
    </row>
    <row r="4808" spans="43:43" x14ac:dyDescent="0.25">
      <c r="AQ4808" s="37"/>
    </row>
    <row r="4809" spans="43:43" x14ac:dyDescent="0.25">
      <c r="AQ4809" s="37"/>
    </row>
    <row r="4810" spans="43:43" x14ac:dyDescent="0.25">
      <c r="AQ4810" s="37"/>
    </row>
    <row r="4811" spans="43:43" x14ac:dyDescent="0.25">
      <c r="AQ4811" s="37"/>
    </row>
    <row r="4812" spans="43:43" x14ac:dyDescent="0.25">
      <c r="AQ4812" s="37"/>
    </row>
    <row r="4813" spans="43:43" x14ac:dyDescent="0.25">
      <c r="AQ4813" s="37"/>
    </row>
    <row r="4814" spans="43:43" x14ac:dyDescent="0.25">
      <c r="AQ4814" s="37"/>
    </row>
    <row r="4815" spans="43:43" x14ac:dyDescent="0.25">
      <c r="AQ4815" s="37"/>
    </row>
    <row r="4816" spans="43:43" x14ac:dyDescent="0.25">
      <c r="AQ4816" s="37"/>
    </row>
    <row r="4817" spans="43:43" x14ac:dyDescent="0.25">
      <c r="AQ4817" s="37"/>
    </row>
    <row r="4818" spans="43:43" x14ac:dyDescent="0.25">
      <c r="AQ4818" s="37"/>
    </row>
    <row r="4819" spans="43:43" x14ac:dyDescent="0.25">
      <c r="AQ4819" s="37"/>
    </row>
    <row r="4820" spans="43:43" x14ac:dyDescent="0.25">
      <c r="AQ4820" s="37"/>
    </row>
    <row r="4821" spans="43:43" x14ac:dyDescent="0.25">
      <c r="AQ4821" s="37"/>
    </row>
    <row r="4822" spans="43:43" x14ac:dyDescent="0.25">
      <c r="AQ4822" s="37"/>
    </row>
    <row r="4823" spans="43:43" x14ac:dyDescent="0.25">
      <c r="AQ4823" s="37"/>
    </row>
    <row r="4824" spans="43:43" x14ac:dyDescent="0.25">
      <c r="AQ4824" s="37"/>
    </row>
    <row r="4825" spans="43:43" x14ac:dyDescent="0.25">
      <c r="AQ4825" s="37"/>
    </row>
    <row r="4826" spans="43:43" x14ac:dyDescent="0.25">
      <c r="AQ4826" s="37"/>
    </row>
    <row r="4827" spans="43:43" x14ac:dyDescent="0.25">
      <c r="AQ4827" s="37"/>
    </row>
    <row r="4828" spans="43:43" x14ac:dyDescent="0.25">
      <c r="AQ4828" s="37"/>
    </row>
    <row r="4829" spans="43:43" x14ac:dyDescent="0.25">
      <c r="AQ4829" s="37"/>
    </row>
    <row r="4830" spans="43:43" x14ac:dyDescent="0.25">
      <c r="AQ4830" s="37"/>
    </row>
    <row r="4831" spans="43:43" x14ac:dyDescent="0.25">
      <c r="AQ4831" s="37"/>
    </row>
    <row r="4832" spans="43:43" x14ac:dyDescent="0.25">
      <c r="AQ4832" s="37"/>
    </row>
    <row r="4833" spans="43:43" x14ac:dyDescent="0.25">
      <c r="AQ4833" s="37"/>
    </row>
    <row r="4834" spans="43:43" x14ac:dyDescent="0.25">
      <c r="AQ4834" s="37"/>
    </row>
    <row r="4835" spans="43:43" x14ac:dyDescent="0.25">
      <c r="AQ4835" s="37"/>
    </row>
    <row r="4836" spans="43:43" x14ac:dyDescent="0.25">
      <c r="AQ4836" s="37"/>
    </row>
    <row r="4837" spans="43:43" x14ac:dyDescent="0.25">
      <c r="AQ4837" s="37"/>
    </row>
    <row r="4838" spans="43:43" x14ac:dyDescent="0.25">
      <c r="AQ4838" s="37"/>
    </row>
    <row r="4839" spans="43:43" x14ac:dyDescent="0.25">
      <c r="AQ4839" s="37"/>
    </row>
    <row r="4840" spans="43:43" x14ac:dyDescent="0.25">
      <c r="AQ4840" s="37"/>
    </row>
    <row r="4841" spans="43:43" x14ac:dyDescent="0.25">
      <c r="AQ4841" s="37"/>
    </row>
    <row r="4842" spans="43:43" x14ac:dyDescent="0.25">
      <c r="AQ4842" s="37"/>
    </row>
    <row r="4843" spans="43:43" x14ac:dyDescent="0.25">
      <c r="AQ4843" s="37"/>
    </row>
    <row r="4844" spans="43:43" x14ac:dyDescent="0.25">
      <c r="AQ4844" s="37"/>
    </row>
    <row r="4845" spans="43:43" x14ac:dyDescent="0.25">
      <c r="AQ4845" s="37"/>
    </row>
    <row r="4846" spans="43:43" x14ac:dyDescent="0.25">
      <c r="AQ4846" s="37"/>
    </row>
    <row r="4847" spans="43:43" x14ac:dyDescent="0.25">
      <c r="AQ4847" s="37"/>
    </row>
    <row r="4848" spans="43:43" x14ac:dyDescent="0.25">
      <c r="AQ4848" s="37"/>
    </row>
    <row r="4849" spans="43:43" x14ac:dyDescent="0.25">
      <c r="AQ4849" s="37"/>
    </row>
    <row r="4850" spans="43:43" x14ac:dyDescent="0.25">
      <c r="AQ4850" s="37"/>
    </row>
    <row r="4851" spans="43:43" x14ac:dyDescent="0.25">
      <c r="AQ4851" s="37"/>
    </row>
    <row r="4852" spans="43:43" x14ac:dyDescent="0.25">
      <c r="AQ4852" s="37"/>
    </row>
    <row r="4853" spans="43:43" x14ac:dyDescent="0.25">
      <c r="AQ4853" s="37"/>
    </row>
    <row r="4854" spans="43:43" x14ac:dyDescent="0.25">
      <c r="AQ4854" s="37"/>
    </row>
    <row r="4855" spans="43:43" x14ac:dyDescent="0.25">
      <c r="AQ4855" s="37"/>
    </row>
    <row r="4856" spans="43:43" x14ac:dyDescent="0.25">
      <c r="AQ4856" s="37"/>
    </row>
    <row r="4857" spans="43:43" x14ac:dyDescent="0.25">
      <c r="AQ4857" s="37"/>
    </row>
    <row r="4858" spans="43:43" x14ac:dyDescent="0.25">
      <c r="AQ4858" s="37"/>
    </row>
    <row r="4859" spans="43:43" x14ac:dyDescent="0.25">
      <c r="AQ4859" s="37"/>
    </row>
    <row r="4860" spans="43:43" x14ac:dyDescent="0.25">
      <c r="AQ4860" s="37"/>
    </row>
    <row r="4861" spans="43:43" x14ac:dyDescent="0.25">
      <c r="AQ4861" s="37"/>
    </row>
    <row r="4862" spans="43:43" x14ac:dyDescent="0.25">
      <c r="AQ4862" s="37"/>
    </row>
    <row r="4863" spans="43:43" x14ac:dyDescent="0.25">
      <c r="AQ4863" s="37"/>
    </row>
    <row r="4864" spans="43:43" x14ac:dyDescent="0.25">
      <c r="AQ4864" s="37"/>
    </row>
    <row r="4865" spans="43:43" x14ac:dyDescent="0.25">
      <c r="AQ4865" s="37"/>
    </row>
    <row r="4866" spans="43:43" x14ac:dyDescent="0.25">
      <c r="AQ4866" s="37"/>
    </row>
    <row r="4867" spans="43:43" x14ac:dyDescent="0.25">
      <c r="AQ4867" s="37"/>
    </row>
    <row r="4868" spans="43:43" x14ac:dyDescent="0.25">
      <c r="AQ4868" s="37"/>
    </row>
    <row r="4869" spans="43:43" x14ac:dyDescent="0.25">
      <c r="AQ4869" s="37"/>
    </row>
    <row r="4870" spans="43:43" x14ac:dyDescent="0.25">
      <c r="AQ4870" s="37"/>
    </row>
    <row r="4871" spans="43:43" x14ac:dyDescent="0.25">
      <c r="AQ4871" s="37"/>
    </row>
    <row r="4872" spans="43:43" x14ac:dyDescent="0.25">
      <c r="AQ4872" s="37"/>
    </row>
    <row r="4873" spans="43:43" x14ac:dyDescent="0.25">
      <c r="AQ4873" s="37"/>
    </row>
    <row r="4874" spans="43:43" x14ac:dyDescent="0.25">
      <c r="AQ4874" s="37"/>
    </row>
    <row r="4875" spans="43:43" x14ac:dyDescent="0.25">
      <c r="AQ4875" s="37"/>
    </row>
    <row r="4876" spans="43:43" x14ac:dyDescent="0.25">
      <c r="AQ4876" s="37"/>
    </row>
    <row r="4877" spans="43:43" x14ac:dyDescent="0.25">
      <c r="AQ4877" s="37"/>
    </row>
    <row r="4878" spans="43:43" x14ac:dyDescent="0.25">
      <c r="AQ4878" s="37"/>
    </row>
    <row r="4879" spans="43:43" x14ac:dyDescent="0.25">
      <c r="AQ4879" s="37"/>
    </row>
    <row r="4880" spans="43:43" x14ac:dyDescent="0.25">
      <c r="AQ4880" s="37"/>
    </row>
    <row r="4881" spans="43:43" x14ac:dyDescent="0.25">
      <c r="AQ4881" s="37"/>
    </row>
    <row r="4882" spans="43:43" x14ac:dyDescent="0.25">
      <c r="AQ4882" s="37"/>
    </row>
    <row r="4883" spans="43:43" x14ac:dyDescent="0.25">
      <c r="AQ4883" s="37"/>
    </row>
    <row r="4884" spans="43:43" x14ac:dyDescent="0.25">
      <c r="AQ4884" s="37"/>
    </row>
    <row r="4885" spans="43:43" x14ac:dyDescent="0.25">
      <c r="AQ4885" s="37"/>
    </row>
    <row r="4886" spans="43:43" x14ac:dyDescent="0.25">
      <c r="AQ4886" s="37"/>
    </row>
    <row r="4887" spans="43:43" x14ac:dyDescent="0.25">
      <c r="AQ4887" s="37"/>
    </row>
    <row r="4888" spans="43:43" x14ac:dyDescent="0.25">
      <c r="AQ4888" s="37"/>
    </row>
    <row r="4889" spans="43:43" x14ac:dyDescent="0.25">
      <c r="AQ4889" s="37"/>
    </row>
    <row r="4890" spans="43:43" x14ac:dyDescent="0.25">
      <c r="AQ4890" s="37"/>
    </row>
    <row r="4891" spans="43:43" x14ac:dyDescent="0.25">
      <c r="AQ4891" s="37"/>
    </row>
    <row r="4892" spans="43:43" x14ac:dyDescent="0.25">
      <c r="AQ4892" s="37"/>
    </row>
    <row r="4893" spans="43:43" x14ac:dyDescent="0.25">
      <c r="AQ4893" s="37"/>
    </row>
    <row r="4894" spans="43:43" x14ac:dyDescent="0.25">
      <c r="AQ4894" s="37"/>
    </row>
    <row r="4895" spans="43:43" x14ac:dyDescent="0.25">
      <c r="AQ4895" s="37"/>
    </row>
    <row r="4896" spans="43:43" x14ac:dyDescent="0.25">
      <c r="AQ4896" s="37"/>
    </row>
    <row r="4897" spans="43:43" x14ac:dyDescent="0.25">
      <c r="AQ4897" s="37"/>
    </row>
    <row r="4898" spans="43:43" x14ac:dyDescent="0.25">
      <c r="AQ4898" s="37"/>
    </row>
    <row r="4899" spans="43:43" x14ac:dyDescent="0.25">
      <c r="AQ4899" s="37"/>
    </row>
    <row r="4900" spans="43:43" x14ac:dyDescent="0.25">
      <c r="AQ4900" s="37"/>
    </row>
    <row r="4901" spans="43:43" x14ac:dyDescent="0.25">
      <c r="AQ4901" s="37"/>
    </row>
    <row r="4902" spans="43:43" x14ac:dyDescent="0.25">
      <c r="AQ4902" s="37"/>
    </row>
    <row r="4903" spans="43:43" x14ac:dyDescent="0.25">
      <c r="AQ4903" s="37"/>
    </row>
    <row r="4904" spans="43:43" x14ac:dyDescent="0.25">
      <c r="AQ4904" s="37"/>
    </row>
    <row r="4905" spans="43:43" x14ac:dyDescent="0.25">
      <c r="AQ4905" s="37"/>
    </row>
    <row r="4906" spans="43:43" x14ac:dyDescent="0.25">
      <c r="AQ4906" s="37"/>
    </row>
    <row r="4907" spans="43:43" x14ac:dyDescent="0.25">
      <c r="AQ4907" s="37"/>
    </row>
    <row r="4908" spans="43:43" x14ac:dyDescent="0.25">
      <c r="AQ4908" s="37"/>
    </row>
    <row r="4909" spans="43:43" x14ac:dyDescent="0.25">
      <c r="AQ4909" s="37"/>
    </row>
    <row r="4910" spans="43:43" x14ac:dyDescent="0.25">
      <c r="AQ4910" s="37"/>
    </row>
    <row r="4911" spans="43:43" x14ac:dyDescent="0.25">
      <c r="AQ4911" s="37"/>
    </row>
    <row r="4912" spans="43:43" x14ac:dyDescent="0.25">
      <c r="AQ4912" s="37"/>
    </row>
    <row r="4913" spans="43:43" x14ac:dyDescent="0.25">
      <c r="AQ4913" s="37"/>
    </row>
    <row r="4914" spans="43:43" x14ac:dyDescent="0.25">
      <c r="AQ4914" s="37"/>
    </row>
    <row r="4915" spans="43:43" x14ac:dyDescent="0.25">
      <c r="AQ4915" s="37"/>
    </row>
    <row r="4916" spans="43:43" x14ac:dyDescent="0.25">
      <c r="AQ4916" s="37"/>
    </row>
    <row r="4917" spans="43:43" x14ac:dyDescent="0.25">
      <c r="AQ4917" s="37"/>
    </row>
    <row r="4918" spans="43:43" x14ac:dyDescent="0.25">
      <c r="AQ4918" s="37"/>
    </row>
    <row r="4919" spans="43:43" x14ac:dyDescent="0.25">
      <c r="AQ4919" s="37"/>
    </row>
    <row r="4920" spans="43:43" x14ac:dyDescent="0.25">
      <c r="AQ4920" s="37"/>
    </row>
    <row r="4921" spans="43:43" x14ac:dyDescent="0.25">
      <c r="AQ4921" s="37"/>
    </row>
    <row r="4922" spans="43:43" x14ac:dyDescent="0.25">
      <c r="AQ4922" s="37"/>
    </row>
    <row r="4923" spans="43:43" x14ac:dyDescent="0.25">
      <c r="AQ4923" s="37"/>
    </row>
    <row r="4924" spans="43:43" x14ac:dyDescent="0.25">
      <c r="AQ4924" s="37"/>
    </row>
    <row r="4925" spans="43:43" x14ac:dyDescent="0.25">
      <c r="AQ4925" s="37"/>
    </row>
    <row r="4926" spans="43:43" x14ac:dyDescent="0.25">
      <c r="AQ4926" s="37"/>
    </row>
    <row r="4927" spans="43:43" x14ac:dyDescent="0.25">
      <c r="AQ4927" s="37"/>
    </row>
    <row r="4928" spans="43:43" x14ac:dyDescent="0.25">
      <c r="AQ4928" s="37"/>
    </row>
    <row r="4929" spans="43:43" x14ac:dyDescent="0.25">
      <c r="AQ4929" s="37"/>
    </row>
    <row r="4930" spans="43:43" x14ac:dyDescent="0.25">
      <c r="AQ4930" s="37"/>
    </row>
    <row r="4931" spans="43:43" x14ac:dyDescent="0.25">
      <c r="AQ4931" s="37"/>
    </row>
    <row r="4932" spans="43:43" x14ac:dyDescent="0.25">
      <c r="AQ4932" s="37"/>
    </row>
    <row r="4933" spans="43:43" x14ac:dyDescent="0.25">
      <c r="AQ4933" s="37"/>
    </row>
    <row r="4934" spans="43:43" x14ac:dyDescent="0.25">
      <c r="AQ4934" s="37"/>
    </row>
    <row r="4935" spans="43:43" x14ac:dyDescent="0.25">
      <c r="AQ4935" s="37"/>
    </row>
    <row r="4936" spans="43:43" x14ac:dyDescent="0.25">
      <c r="AQ4936" s="37"/>
    </row>
    <row r="4937" spans="43:43" x14ac:dyDescent="0.25">
      <c r="AQ4937" s="37"/>
    </row>
    <row r="4938" spans="43:43" x14ac:dyDescent="0.25">
      <c r="AQ4938" s="37"/>
    </row>
    <row r="4939" spans="43:43" x14ac:dyDescent="0.25">
      <c r="AQ4939" s="37"/>
    </row>
    <row r="4940" spans="43:43" x14ac:dyDescent="0.25">
      <c r="AQ4940" s="37"/>
    </row>
    <row r="4941" spans="43:43" x14ac:dyDescent="0.25">
      <c r="AQ4941" s="37"/>
    </row>
    <row r="4942" spans="43:43" x14ac:dyDescent="0.25">
      <c r="AQ4942" s="37"/>
    </row>
    <row r="4943" spans="43:43" x14ac:dyDescent="0.25">
      <c r="AQ4943" s="37"/>
    </row>
    <row r="4944" spans="43:43" x14ac:dyDescent="0.25">
      <c r="AQ4944" s="37"/>
    </row>
    <row r="4945" spans="43:43" x14ac:dyDescent="0.25">
      <c r="AQ4945" s="37"/>
    </row>
    <row r="4946" spans="43:43" x14ac:dyDescent="0.25">
      <c r="AQ4946" s="37"/>
    </row>
    <row r="4947" spans="43:43" x14ac:dyDescent="0.25">
      <c r="AQ4947" s="37"/>
    </row>
    <row r="4948" spans="43:43" x14ac:dyDescent="0.25">
      <c r="AQ4948" s="37"/>
    </row>
    <row r="4949" spans="43:43" x14ac:dyDescent="0.25">
      <c r="AQ4949" s="37"/>
    </row>
    <row r="4950" spans="43:43" x14ac:dyDescent="0.25">
      <c r="AQ4950" s="37"/>
    </row>
    <row r="4951" spans="43:43" x14ac:dyDescent="0.25">
      <c r="AQ4951" s="37"/>
    </row>
    <row r="4952" spans="43:43" x14ac:dyDescent="0.25">
      <c r="AQ4952" s="37"/>
    </row>
    <row r="4953" spans="43:43" x14ac:dyDescent="0.25">
      <c r="AQ4953" s="37"/>
    </row>
    <row r="4954" spans="43:43" x14ac:dyDescent="0.25">
      <c r="AQ4954" s="37"/>
    </row>
    <row r="4955" spans="43:43" x14ac:dyDescent="0.25">
      <c r="AQ4955" s="37"/>
    </row>
    <row r="4956" spans="43:43" x14ac:dyDescent="0.25">
      <c r="AQ4956" s="37"/>
    </row>
    <row r="4957" spans="43:43" x14ac:dyDescent="0.25">
      <c r="AQ4957" s="37"/>
    </row>
    <row r="4958" spans="43:43" x14ac:dyDescent="0.25">
      <c r="AQ4958" s="37"/>
    </row>
    <row r="4959" spans="43:43" x14ac:dyDescent="0.25">
      <c r="AQ4959" s="37"/>
    </row>
    <row r="4960" spans="43:43" x14ac:dyDescent="0.25">
      <c r="AQ4960" s="37"/>
    </row>
    <row r="4961" spans="43:43" x14ac:dyDescent="0.25">
      <c r="AQ4961" s="37"/>
    </row>
    <row r="4962" spans="43:43" x14ac:dyDescent="0.25">
      <c r="AQ4962" s="37"/>
    </row>
    <row r="4963" spans="43:43" x14ac:dyDescent="0.25">
      <c r="AQ4963" s="37"/>
    </row>
    <row r="4964" spans="43:43" x14ac:dyDescent="0.25">
      <c r="AQ4964" s="37"/>
    </row>
    <row r="4965" spans="43:43" x14ac:dyDescent="0.25">
      <c r="AQ4965" s="37"/>
    </row>
    <row r="4966" spans="43:43" x14ac:dyDescent="0.25">
      <c r="AQ4966" s="37"/>
    </row>
    <row r="4967" spans="43:43" x14ac:dyDescent="0.25">
      <c r="AQ4967" s="37"/>
    </row>
    <row r="4968" spans="43:43" x14ac:dyDescent="0.25">
      <c r="AQ4968" s="37"/>
    </row>
    <row r="4969" spans="43:43" x14ac:dyDescent="0.25">
      <c r="AQ4969" s="37"/>
    </row>
    <row r="4970" spans="43:43" x14ac:dyDescent="0.25">
      <c r="AQ4970" s="37"/>
    </row>
    <row r="4971" spans="43:43" x14ac:dyDescent="0.25">
      <c r="AQ4971" s="37"/>
    </row>
    <row r="4972" spans="43:43" x14ac:dyDescent="0.25">
      <c r="AQ4972" s="37"/>
    </row>
    <row r="4973" spans="43:43" x14ac:dyDescent="0.25">
      <c r="AQ4973" s="37"/>
    </row>
    <row r="4974" spans="43:43" x14ac:dyDescent="0.25">
      <c r="AQ4974" s="37"/>
    </row>
    <row r="4975" spans="43:43" x14ac:dyDescent="0.25">
      <c r="AQ4975" s="37"/>
    </row>
    <row r="4976" spans="43:43" x14ac:dyDescent="0.25">
      <c r="AQ4976" s="37"/>
    </row>
    <row r="4977" spans="43:43" x14ac:dyDescent="0.25">
      <c r="AQ4977" s="37"/>
    </row>
    <row r="4978" spans="43:43" x14ac:dyDescent="0.25">
      <c r="AQ4978" s="37"/>
    </row>
    <row r="4979" spans="43:43" x14ac:dyDescent="0.25">
      <c r="AQ4979" s="37"/>
    </row>
    <row r="4980" spans="43:43" x14ac:dyDescent="0.25">
      <c r="AQ4980" s="37"/>
    </row>
    <row r="4981" spans="43:43" x14ac:dyDescent="0.25">
      <c r="AQ4981" s="37"/>
    </row>
    <row r="4982" spans="43:43" x14ac:dyDescent="0.25">
      <c r="AQ4982" s="37"/>
    </row>
    <row r="4983" spans="43:43" x14ac:dyDescent="0.25">
      <c r="AQ4983" s="37"/>
    </row>
    <row r="4984" spans="43:43" x14ac:dyDescent="0.25">
      <c r="AQ4984" s="37"/>
    </row>
    <row r="4985" spans="43:43" x14ac:dyDescent="0.25">
      <c r="AQ4985" s="37"/>
    </row>
    <row r="4986" spans="43:43" x14ac:dyDescent="0.25">
      <c r="AQ4986" s="37"/>
    </row>
    <row r="4987" spans="43:43" x14ac:dyDescent="0.25">
      <c r="AQ4987" s="37"/>
    </row>
    <row r="4988" spans="43:43" x14ac:dyDescent="0.25">
      <c r="AQ4988" s="37"/>
    </row>
    <row r="4989" spans="43:43" x14ac:dyDescent="0.25">
      <c r="AQ4989" s="37"/>
    </row>
    <row r="4990" spans="43:43" x14ac:dyDescent="0.25">
      <c r="AQ4990" s="37"/>
    </row>
    <row r="4991" spans="43:43" x14ac:dyDescent="0.25">
      <c r="AQ4991" s="37"/>
    </row>
    <row r="4992" spans="43:43" x14ac:dyDescent="0.25">
      <c r="AQ4992" s="37"/>
    </row>
    <row r="4993" spans="43:43" x14ac:dyDescent="0.25">
      <c r="AQ4993" s="37"/>
    </row>
    <row r="4994" spans="43:43" x14ac:dyDescent="0.25">
      <c r="AQ4994" s="37"/>
    </row>
    <row r="4995" spans="43:43" x14ac:dyDescent="0.25">
      <c r="AQ4995" s="37"/>
    </row>
    <row r="4996" spans="43:43" x14ac:dyDescent="0.25">
      <c r="AQ4996" s="37"/>
    </row>
    <row r="4997" spans="43:43" x14ac:dyDescent="0.25">
      <c r="AQ4997" s="37"/>
    </row>
    <row r="4998" spans="43:43" x14ac:dyDescent="0.25">
      <c r="AQ4998" s="37"/>
    </row>
    <row r="4999" spans="43:43" x14ac:dyDescent="0.25">
      <c r="AQ4999" s="37"/>
    </row>
    <row r="5000" spans="43:43" x14ac:dyDescent="0.25">
      <c r="AQ5000" s="37"/>
    </row>
    <row r="5001" spans="43:43" x14ac:dyDescent="0.25">
      <c r="AQ5001" s="37"/>
    </row>
    <row r="5002" spans="43:43" x14ac:dyDescent="0.25">
      <c r="AQ5002" s="37"/>
    </row>
    <row r="5003" spans="43:43" x14ac:dyDescent="0.25">
      <c r="AQ5003" s="37"/>
    </row>
    <row r="5004" spans="43:43" x14ac:dyDescent="0.25">
      <c r="AQ5004" s="37"/>
    </row>
    <row r="5005" spans="43:43" x14ac:dyDescent="0.25">
      <c r="AQ5005" s="37"/>
    </row>
    <row r="5006" spans="43:43" x14ac:dyDescent="0.25">
      <c r="AQ5006" s="37"/>
    </row>
    <row r="5007" spans="43:43" x14ac:dyDescent="0.25">
      <c r="AQ5007" s="37"/>
    </row>
    <row r="5008" spans="43:43" x14ac:dyDescent="0.25">
      <c r="AQ5008" s="37"/>
    </row>
    <row r="5009" spans="43:43" x14ac:dyDescent="0.25">
      <c r="AQ5009" s="37"/>
    </row>
    <row r="5010" spans="43:43" x14ac:dyDescent="0.25">
      <c r="AQ5010" s="37"/>
    </row>
    <row r="5011" spans="43:43" x14ac:dyDescent="0.25">
      <c r="AQ5011" s="37"/>
    </row>
    <row r="5012" spans="43:43" x14ac:dyDescent="0.25">
      <c r="AQ5012" s="37"/>
    </row>
    <row r="5013" spans="43:43" x14ac:dyDescent="0.25">
      <c r="AQ5013" s="37"/>
    </row>
    <row r="5014" spans="43:43" x14ac:dyDescent="0.25">
      <c r="AQ5014" s="37"/>
    </row>
    <row r="5015" spans="43:43" x14ac:dyDescent="0.25">
      <c r="AQ5015" s="37"/>
    </row>
    <row r="5016" spans="43:43" x14ac:dyDescent="0.25">
      <c r="AQ5016" s="37"/>
    </row>
    <row r="5017" spans="43:43" x14ac:dyDescent="0.25">
      <c r="AQ5017" s="37"/>
    </row>
    <row r="5018" spans="43:43" x14ac:dyDescent="0.25">
      <c r="AQ5018" s="37"/>
    </row>
    <row r="5019" spans="43:43" x14ac:dyDescent="0.25">
      <c r="AQ5019" s="37"/>
    </row>
    <row r="5020" spans="43:43" x14ac:dyDescent="0.25">
      <c r="AQ5020" s="37"/>
    </row>
    <row r="5021" spans="43:43" x14ac:dyDescent="0.25">
      <c r="AQ5021" s="37"/>
    </row>
    <row r="5022" spans="43:43" x14ac:dyDescent="0.25">
      <c r="AQ5022" s="37"/>
    </row>
    <row r="5023" spans="43:43" x14ac:dyDescent="0.25">
      <c r="AQ5023" s="37"/>
    </row>
    <row r="5024" spans="43:43" x14ac:dyDescent="0.25">
      <c r="AQ5024" s="37"/>
    </row>
    <row r="5025" spans="43:43" x14ac:dyDescent="0.25">
      <c r="AQ5025" s="37"/>
    </row>
    <row r="5026" spans="43:43" x14ac:dyDescent="0.25">
      <c r="AQ5026" s="37"/>
    </row>
    <row r="5027" spans="43:43" x14ac:dyDescent="0.25">
      <c r="AQ5027" s="37"/>
    </row>
    <row r="5028" spans="43:43" x14ac:dyDescent="0.25">
      <c r="AQ5028" s="37"/>
    </row>
    <row r="5029" spans="43:43" x14ac:dyDescent="0.25">
      <c r="AQ5029" s="37"/>
    </row>
    <row r="5030" spans="43:43" x14ac:dyDescent="0.25">
      <c r="AQ5030" s="37"/>
    </row>
    <row r="5031" spans="43:43" x14ac:dyDescent="0.25">
      <c r="AQ5031" s="37"/>
    </row>
    <row r="5032" spans="43:43" x14ac:dyDescent="0.25">
      <c r="AQ5032" s="37"/>
    </row>
    <row r="5033" spans="43:43" x14ac:dyDescent="0.25">
      <c r="AQ5033" s="37"/>
    </row>
    <row r="5034" spans="43:43" x14ac:dyDescent="0.25">
      <c r="AQ5034" s="37"/>
    </row>
    <row r="5035" spans="43:43" x14ac:dyDescent="0.25">
      <c r="AQ5035" s="37"/>
    </row>
    <row r="5036" spans="43:43" x14ac:dyDescent="0.25">
      <c r="AQ5036" s="37"/>
    </row>
    <row r="5037" spans="43:43" x14ac:dyDescent="0.25">
      <c r="AQ5037" s="37"/>
    </row>
    <row r="5038" spans="43:43" x14ac:dyDescent="0.25">
      <c r="AQ5038" s="37"/>
    </row>
    <row r="5039" spans="43:43" x14ac:dyDescent="0.25">
      <c r="AQ5039" s="37"/>
    </row>
    <row r="5040" spans="43:43" x14ac:dyDescent="0.25">
      <c r="AQ5040" s="37"/>
    </row>
    <row r="5041" spans="43:43" x14ac:dyDescent="0.25">
      <c r="AQ5041" s="37"/>
    </row>
    <row r="5042" spans="43:43" x14ac:dyDescent="0.25">
      <c r="AQ5042" s="37"/>
    </row>
    <row r="5043" spans="43:43" x14ac:dyDescent="0.25">
      <c r="AQ5043" s="37"/>
    </row>
    <row r="5044" spans="43:43" x14ac:dyDescent="0.25">
      <c r="AQ5044" s="37"/>
    </row>
    <row r="5045" spans="43:43" x14ac:dyDescent="0.25">
      <c r="AQ5045" s="37"/>
    </row>
    <row r="5046" spans="43:43" x14ac:dyDescent="0.25">
      <c r="AQ5046" s="37"/>
    </row>
    <row r="5047" spans="43:43" x14ac:dyDescent="0.25">
      <c r="AQ5047" s="37"/>
    </row>
    <row r="5048" spans="43:43" x14ac:dyDescent="0.25">
      <c r="AQ5048" s="37"/>
    </row>
    <row r="5049" spans="43:43" x14ac:dyDescent="0.25">
      <c r="AQ5049" s="37"/>
    </row>
    <row r="5050" spans="43:43" x14ac:dyDescent="0.25">
      <c r="AQ5050" s="37"/>
    </row>
    <row r="5051" spans="43:43" x14ac:dyDescent="0.25">
      <c r="AQ5051" s="37"/>
    </row>
    <row r="5052" spans="43:43" x14ac:dyDescent="0.25">
      <c r="AQ5052" s="37"/>
    </row>
    <row r="5053" spans="43:43" x14ac:dyDescent="0.25">
      <c r="AQ5053" s="37"/>
    </row>
    <row r="5054" spans="43:43" x14ac:dyDescent="0.25">
      <c r="AQ5054" s="37"/>
    </row>
    <row r="5055" spans="43:43" x14ac:dyDescent="0.25">
      <c r="AQ5055" s="37"/>
    </row>
    <row r="5056" spans="43:43" x14ac:dyDescent="0.25">
      <c r="AQ5056" s="37"/>
    </row>
    <row r="5057" spans="43:43" x14ac:dyDescent="0.25">
      <c r="AQ5057" s="37"/>
    </row>
    <row r="5058" spans="43:43" x14ac:dyDescent="0.25">
      <c r="AQ5058" s="37"/>
    </row>
    <row r="5059" spans="43:43" x14ac:dyDescent="0.25">
      <c r="AQ5059" s="37"/>
    </row>
    <row r="5060" spans="43:43" x14ac:dyDescent="0.25">
      <c r="AQ5060" s="37"/>
    </row>
    <row r="5061" spans="43:43" x14ac:dyDescent="0.25">
      <c r="AQ5061" s="37"/>
    </row>
    <row r="5062" spans="43:43" x14ac:dyDescent="0.25">
      <c r="AQ5062" s="37"/>
    </row>
    <row r="5063" spans="43:43" x14ac:dyDescent="0.25">
      <c r="AQ5063" s="37"/>
    </row>
    <row r="5064" spans="43:43" x14ac:dyDescent="0.25">
      <c r="AQ5064" s="37"/>
    </row>
    <row r="5065" spans="43:43" x14ac:dyDescent="0.25">
      <c r="AQ5065" s="37"/>
    </row>
    <row r="5066" spans="43:43" x14ac:dyDescent="0.25">
      <c r="AQ5066" s="37"/>
    </row>
    <row r="5067" spans="43:43" x14ac:dyDescent="0.25">
      <c r="AQ5067" s="37"/>
    </row>
    <row r="5068" spans="43:43" x14ac:dyDescent="0.25">
      <c r="AQ5068" s="37"/>
    </row>
    <row r="5069" spans="43:43" x14ac:dyDescent="0.25">
      <c r="AQ5069" s="37"/>
    </row>
    <row r="5070" spans="43:43" x14ac:dyDescent="0.25">
      <c r="AQ5070" s="37"/>
    </row>
    <row r="5071" spans="43:43" x14ac:dyDescent="0.25">
      <c r="AQ5071" s="37"/>
    </row>
    <row r="5072" spans="43:43" x14ac:dyDescent="0.25">
      <c r="AQ5072" s="37"/>
    </row>
    <row r="5073" spans="43:43" x14ac:dyDescent="0.25">
      <c r="AQ5073" s="37"/>
    </row>
    <row r="5074" spans="43:43" x14ac:dyDescent="0.25">
      <c r="AQ5074" s="37"/>
    </row>
    <row r="5075" spans="43:43" x14ac:dyDescent="0.25">
      <c r="AQ5075" s="37"/>
    </row>
    <row r="5076" spans="43:43" x14ac:dyDescent="0.25">
      <c r="AQ5076" s="37"/>
    </row>
    <row r="5077" spans="43:43" x14ac:dyDescent="0.25">
      <c r="AQ5077" s="37"/>
    </row>
    <row r="5078" spans="43:43" x14ac:dyDescent="0.25">
      <c r="AQ5078" s="37"/>
    </row>
    <row r="5079" spans="43:43" x14ac:dyDescent="0.25">
      <c r="AQ5079" s="37"/>
    </row>
    <row r="5080" spans="43:43" x14ac:dyDescent="0.25">
      <c r="AQ5080" s="37"/>
    </row>
    <row r="5081" spans="43:43" x14ac:dyDescent="0.25">
      <c r="AQ5081" s="37"/>
    </row>
    <row r="5082" spans="43:43" x14ac:dyDescent="0.25">
      <c r="AQ5082" s="37"/>
    </row>
    <row r="5083" spans="43:43" x14ac:dyDescent="0.25">
      <c r="AQ5083" s="37"/>
    </row>
    <row r="5084" spans="43:43" x14ac:dyDescent="0.25">
      <c r="AQ5084" s="37"/>
    </row>
    <row r="5085" spans="43:43" x14ac:dyDescent="0.25">
      <c r="AQ5085" s="37"/>
    </row>
    <row r="5086" spans="43:43" x14ac:dyDescent="0.25">
      <c r="AQ5086" s="37"/>
    </row>
    <row r="5087" spans="43:43" x14ac:dyDescent="0.25">
      <c r="AQ5087" s="37"/>
    </row>
    <row r="5088" spans="43:43" x14ac:dyDescent="0.25">
      <c r="AQ5088" s="37"/>
    </row>
    <row r="5089" spans="43:43" x14ac:dyDescent="0.25">
      <c r="AQ5089" s="37"/>
    </row>
    <row r="5090" spans="43:43" x14ac:dyDescent="0.25">
      <c r="AQ5090" s="37"/>
    </row>
    <row r="5091" spans="43:43" x14ac:dyDescent="0.25">
      <c r="AQ5091" s="37"/>
    </row>
    <row r="5092" spans="43:43" x14ac:dyDescent="0.25">
      <c r="AQ5092" s="37"/>
    </row>
    <row r="5093" spans="43:43" x14ac:dyDescent="0.25">
      <c r="AQ5093" s="37"/>
    </row>
    <row r="5094" spans="43:43" x14ac:dyDescent="0.25">
      <c r="AQ5094" s="37"/>
    </row>
    <row r="5095" spans="43:43" x14ac:dyDescent="0.25">
      <c r="AQ5095" s="37"/>
    </row>
    <row r="5096" spans="43:43" x14ac:dyDescent="0.25">
      <c r="AQ5096" s="37"/>
    </row>
    <row r="5097" spans="43:43" x14ac:dyDescent="0.25">
      <c r="AQ5097" s="37"/>
    </row>
    <row r="5098" spans="43:43" x14ac:dyDescent="0.25">
      <c r="AQ5098" s="37"/>
    </row>
    <row r="5099" spans="43:43" x14ac:dyDescent="0.25">
      <c r="AQ5099" s="37"/>
    </row>
    <row r="5100" spans="43:43" x14ac:dyDescent="0.25">
      <c r="AQ5100" s="37"/>
    </row>
    <row r="5101" spans="43:43" x14ac:dyDescent="0.25">
      <c r="AQ5101" s="37"/>
    </row>
    <row r="5102" spans="43:43" x14ac:dyDescent="0.25">
      <c r="AQ5102" s="37"/>
    </row>
    <row r="5103" spans="43:43" x14ac:dyDescent="0.25">
      <c r="AQ5103" s="37"/>
    </row>
    <row r="5104" spans="43:43" x14ac:dyDescent="0.25">
      <c r="AQ5104" s="37"/>
    </row>
    <row r="5105" spans="43:43" x14ac:dyDescent="0.25">
      <c r="AQ5105" s="37"/>
    </row>
    <row r="5106" spans="43:43" x14ac:dyDescent="0.25">
      <c r="AQ5106" s="37"/>
    </row>
    <row r="5107" spans="43:43" x14ac:dyDescent="0.25">
      <c r="AQ5107" s="37"/>
    </row>
    <row r="5108" spans="43:43" x14ac:dyDescent="0.25">
      <c r="AQ5108" s="37"/>
    </row>
    <row r="5109" spans="43:43" x14ac:dyDescent="0.25">
      <c r="AQ5109" s="37"/>
    </row>
    <row r="5110" spans="43:43" x14ac:dyDescent="0.25">
      <c r="AQ5110" s="37"/>
    </row>
    <row r="5111" spans="43:43" x14ac:dyDescent="0.25">
      <c r="AQ5111" s="37"/>
    </row>
    <row r="5112" spans="43:43" x14ac:dyDescent="0.25">
      <c r="AQ5112" s="37"/>
    </row>
    <row r="5113" spans="43:43" x14ac:dyDescent="0.25">
      <c r="AQ5113" s="37"/>
    </row>
    <row r="5114" spans="43:43" x14ac:dyDescent="0.25">
      <c r="AQ5114" s="37"/>
    </row>
    <row r="5115" spans="43:43" x14ac:dyDescent="0.25">
      <c r="AQ5115" s="37"/>
    </row>
    <row r="5116" spans="43:43" x14ac:dyDescent="0.25">
      <c r="AQ5116" s="37"/>
    </row>
    <row r="5117" spans="43:43" x14ac:dyDescent="0.25">
      <c r="AQ5117" s="37"/>
    </row>
    <row r="5118" spans="43:43" x14ac:dyDescent="0.25">
      <c r="AQ5118" s="37"/>
    </row>
    <row r="5119" spans="43:43" x14ac:dyDescent="0.25">
      <c r="AQ5119" s="37"/>
    </row>
    <row r="5120" spans="43:43" x14ac:dyDescent="0.25">
      <c r="AQ5120" s="37"/>
    </row>
    <row r="5121" spans="43:43" x14ac:dyDescent="0.25">
      <c r="AQ5121" s="37"/>
    </row>
    <row r="5122" spans="43:43" x14ac:dyDescent="0.25">
      <c r="AQ5122" s="37"/>
    </row>
    <row r="5123" spans="43:43" x14ac:dyDescent="0.25">
      <c r="AQ5123" s="37"/>
    </row>
    <row r="5124" spans="43:43" x14ac:dyDescent="0.25">
      <c r="AQ5124" s="37"/>
    </row>
    <row r="5125" spans="43:43" x14ac:dyDescent="0.25">
      <c r="AQ5125" s="37"/>
    </row>
    <row r="5126" spans="43:43" x14ac:dyDescent="0.25">
      <c r="AQ5126" s="37"/>
    </row>
    <row r="5127" spans="43:43" x14ac:dyDescent="0.25">
      <c r="AQ5127" s="37"/>
    </row>
    <row r="5128" spans="43:43" x14ac:dyDescent="0.25">
      <c r="AQ5128" s="37"/>
    </row>
    <row r="5129" spans="43:43" x14ac:dyDescent="0.25">
      <c r="AQ5129" s="37"/>
    </row>
    <row r="5130" spans="43:43" x14ac:dyDescent="0.25">
      <c r="AQ5130" s="37"/>
    </row>
    <row r="5131" spans="43:43" x14ac:dyDescent="0.25">
      <c r="AQ5131" s="37"/>
    </row>
    <row r="5132" spans="43:43" x14ac:dyDescent="0.25">
      <c r="AQ5132" s="37"/>
    </row>
    <row r="5133" spans="43:43" x14ac:dyDescent="0.25">
      <c r="AQ5133" s="37"/>
    </row>
    <row r="5134" spans="43:43" x14ac:dyDescent="0.25">
      <c r="AQ5134" s="37"/>
    </row>
    <row r="5135" spans="43:43" x14ac:dyDescent="0.25">
      <c r="AQ5135" s="37"/>
    </row>
    <row r="5136" spans="43:43" x14ac:dyDescent="0.25">
      <c r="AQ5136" s="37"/>
    </row>
    <row r="5137" spans="43:43" x14ac:dyDescent="0.25">
      <c r="AQ5137" s="37"/>
    </row>
    <row r="5138" spans="43:43" x14ac:dyDescent="0.25">
      <c r="AQ5138" s="37"/>
    </row>
    <row r="5139" spans="43:43" x14ac:dyDescent="0.25">
      <c r="AQ5139" s="37"/>
    </row>
    <row r="5140" spans="43:43" x14ac:dyDescent="0.25">
      <c r="AQ5140" s="37"/>
    </row>
    <row r="5141" spans="43:43" x14ac:dyDescent="0.25">
      <c r="AQ5141" s="37"/>
    </row>
    <row r="5142" spans="43:43" x14ac:dyDescent="0.25">
      <c r="AQ5142" s="37"/>
    </row>
    <row r="5143" spans="43:43" x14ac:dyDescent="0.25">
      <c r="AQ5143" s="37"/>
    </row>
    <row r="5144" spans="43:43" x14ac:dyDescent="0.25">
      <c r="AQ5144" s="37"/>
    </row>
    <row r="5145" spans="43:43" x14ac:dyDescent="0.25">
      <c r="AQ5145" s="37"/>
    </row>
    <row r="5146" spans="43:43" x14ac:dyDescent="0.25">
      <c r="AQ5146" s="37"/>
    </row>
    <row r="5147" spans="43:43" x14ac:dyDescent="0.25">
      <c r="AQ5147" s="37"/>
    </row>
    <row r="5148" spans="43:43" x14ac:dyDescent="0.25">
      <c r="AQ5148" s="37"/>
    </row>
    <row r="5149" spans="43:43" x14ac:dyDescent="0.25">
      <c r="AQ5149" s="37"/>
    </row>
    <row r="5150" spans="43:43" x14ac:dyDescent="0.25">
      <c r="AQ5150" s="37"/>
    </row>
    <row r="5151" spans="43:43" x14ac:dyDescent="0.25">
      <c r="AQ5151" s="37"/>
    </row>
    <row r="5152" spans="43:43" x14ac:dyDescent="0.25">
      <c r="AQ5152" s="37"/>
    </row>
    <row r="5153" spans="43:43" x14ac:dyDescent="0.25">
      <c r="AQ5153" s="37"/>
    </row>
    <row r="5154" spans="43:43" x14ac:dyDescent="0.25">
      <c r="AQ5154" s="37"/>
    </row>
    <row r="5155" spans="43:43" x14ac:dyDescent="0.25">
      <c r="AQ5155" s="37"/>
    </row>
    <row r="5156" spans="43:43" x14ac:dyDescent="0.25">
      <c r="AQ5156" s="37"/>
    </row>
    <row r="5157" spans="43:43" x14ac:dyDescent="0.25">
      <c r="AQ5157" s="37"/>
    </row>
    <row r="5158" spans="43:43" x14ac:dyDescent="0.25">
      <c r="AQ5158" s="37"/>
    </row>
    <row r="5159" spans="43:43" x14ac:dyDescent="0.25">
      <c r="AQ5159" s="37"/>
    </row>
    <row r="5160" spans="43:43" x14ac:dyDescent="0.25">
      <c r="AQ5160" s="37"/>
    </row>
    <row r="5161" spans="43:43" x14ac:dyDescent="0.25">
      <c r="AQ5161" s="37"/>
    </row>
    <row r="5162" spans="43:43" x14ac:dyDescent="0.25">
      <c r="AQ5162" s="37"/>
    </row>
    <row r="5163" spans="43:43" x14ac:dyDescent="0.25">
      <c r="AQ5163" s="37"/>
    </row>
    <row r="5164" spans="43:43" x14ac:dyDescent="0.25">
      <c r="AQ5164" s="37"/>
    </row>
    <row r="5165" spans="43:43" x14ac:dyDescent="0.25">
      <c r="AQ5165" s="37"/>
    </row>
    <row r="5166" spans="43:43" x14ac:dyDescent="0.25">
      <c r="AQ5166" s="37"/>
    </row>
    <row r="5167" spans="43:43" x14ac:dyDescent="0.25">
      <c r="AQ5167" s="37"/>
    </row>
    <row r="5168" spans="43:43" x14ac:dyDescent="0.25">
      <c r="AQ5168" s="37"/>
    </row>
    <row r="5169" spans="43:43" x14ac:dyDescent="0.25">
      <c r="AQ5169" s="37"/>
    </row>
    <row r="5170" spans="43:43" x14ac:dyDescent="0.25">
      <c r="AQ5170" s="37"/>
    </row>
    <row r="5171" spans="43:43" x14ac:dyDescent="0.25">
      <c r="AQ5171" s="37"/>
    </row>
    <row r="5172" spans="43:43" x14ac:dyDescent="0.25">
      <c r="AQ5172" s="37"/>
    </row>
    <row r="5173" spans="43:43" x14ac:dyDescent="0.25">
      <c r="AQ5173" s="37"/>
    </row>
    <row r="5174" spans="43:43" x14ac:dyDescent="0.25">
      <c r="AQ5174" s="37"/>
    </row>
    <row r="5175" spans="43:43" x14ac:dyDescent="0.25">
      <c r="AQ5175" s="37"/>
    </row>
    <row r="5176" spans="43:43" x14ac:dyDescent="0.25">
      <c r="AQ5176" s="37"/>
    </row>
    <row r="5177" spans="43:43" x14ac:dyDescent="0.25">
      <c r="AQ5177" s="37"/>
    </row>
    <row r="5178" spans="43:43" x14ac:dyDescent="0.25">
      <c r="AQ5178" s="37"/>
    </row>
    <row r="5179" spans="43:43" x14ac:dyDescent="0.25">
      <c r="AQ5179" s="37"/>
    </row>
    <row r="5180" spans="43:43" x14ac:dyDescent="0.25">
      <c r="AQ5180" s="37"/>
    </row>
    <row r="5181" spans="43:43" x14ac:dyDescent="0.25">
      <c r="AQ5181" s="37"/>
    </row>
    <row r="5182" spans="43:43" x14ac:dyDescent="0.25">
      <c r="AQ5182" s="37"/>
    </row>
    <row r="5183" spans="43:43" x14ac:dyDescent="0.25">
      <c r="AQ5183" s="37"/>
    </row>
    <row r="5184" spans="43:43" x14ac:dyDescent="0.25">
      <c r="AQ5184" s="37"/>
    </row>
    <row r="5185" spans="43:43" x14ac:dyDescent="0.25">
      <c r="AQ5185" s="37"/>
    </row>
    <row r="5186" spans="43:43" x14ac:dyDescent="0.25">
      <c r="AQ5186" s="37"/>
    </row>
    <row r="5187" spans="43:43" x14ac:dyDescent="0.25">
      <c r="AQ5187" s="37"/>
    </row>
    <row r="5188" spans="43:43" x14ac:dyDescent="0.25">
      <c r="AQ5188" s="37"/>
    </row>
    <row r="5189" spans="43:43" x14ac:dyDescent="0.25">
      <c r="AQ5189" s="37"/>
    </row>
    <row r="5190" spans="43:43" x14ac:dyDescent="0.25">
      <c r="AQ5190" s="37"/>
    </row>
    <row r="5191" spans="43:43" x14ac:dyDescent="0.25">
      <c r="AQ5191" s="37"/>
    </row>
    <row r="5192" spans="43:43" x14ac:dyDescent="0.25">
      <c r="AQ5192" s="37"/>
    </row>
    <row r="5193" spans="43:43" x14ac:dyDescent="0.25">
      <c r="AQ5193" s="37"/>
    </row>
    <row r="5194" spans="43:43" x14ac:dyDescent="0.25">
      <c r="AQ5194" s="37"/>
    </row>
    <row r="5195" spans="43:43" x14ac:dyDescent="0.25">
      <c r="AQ5195" s="37"/>
    </row>
    <row r="5196" spans="43:43" x14ac:dyDescent="0.25">
      <c r="AQ5196" s="37"/>
    </row>
    <row r="5197" spans="43:43" x14ac:dyDescent="0.25">
      <c r="AQ5197" s="37"/>
    </row>
    <row r="5198" spans="43:43" x14ac:dyDescent="0.25">
      <c r="AQ5198" s="37"/>
    </row>
    <row r="5199" spans="43:43" x14ac:dyDescent="0.25">
      <c r="AQ5199" s="37"/>
    </row>
    <row r="5200" spans="43:43" x14ac:dyDescent="0.25">
      <c r="AQ5200" s="37"/>
    </row>
    <row r="5201" spans="43:43" x14ac:dyDescent="0.25">
      <c r="AQ5201" s="37"/>
    </row>
    <row r="5202" spans="43:43" x14ac:dyDescent="0.25">
      <c r="AQ5202" s="37"/>
    </row>
    <row r="5203" spans="43:43" x14ac:dyDescent="0.25">
      <c r="AQ5203" s="37"/>
    </row>
    <row r="5204" spans="43:43" x14ac:dyDescent="0.25">
      <c r="AQ5204" s="37"/>
    </row>
    <row r="5205" spans="43:43" x14ac:dyDescent="0.25">
      <c r="AQ5205" s="37"/>
    </row>
    <row r="5206" spans="43:43" x14ac:dyDescent="0.25">
      <c r="AQ5206" s="37"/>
    </row>
    <row r="5207" spans="43:43" x14ac:dyDescent="0.25">
      <c r="AQ5207" s="37"/>
    </row>
    <row r="5208" spans="43:43" x14ac:dyDescent="0.25">
      <c r="AQ5208" s="37"/>
    </row>
    <row r="5209" spans="43:43" x14ac:dyDescent="0.25">
      <c r="AQ5209" s="37"/>
    </row>
    <row r="5210" spans="43:43" x14ac:dyDescent="0.25">
      <c r="AQ5210" s="37"/>
    </row>
    <row r="5211" spans="43:43" x14ac:dyDescent="0.25">
      <c r="AQ5211" s="37"/>
    </row>
    <row r="5212" spans="43:43" x14ac:dyDescent="0.25">
      <c r="AQ5212" s="37"/>
    </row>
    <row r="5213" spans="43:43" x14ac:dyDescent="0.25">
      <c r="AQ5213" s="37"/>
    </row>
    <row r="5214" spans="43:43" x14ac:dyDescent="0.25">
      <c r="AQ5214" s="37"/>
    </row>
    <row r="5215" spans="43:43" x14ac:dyDescent="0.25">
      <c r="AQ5215" s="37"/>
    </row>
    <row r="5216" spans="43:43" x14ac:dyDescent="0.25">
      <c r="AQ5216" s="37"/>
    </row>
    <row r="5217" spans="43:43" x14ac:dyDescent="0.25">
      <c r="AQ5217" s="37"/>
    </row>
    <row r="5218" spans="43:43" x14ac:dyDescent="0.25">
      <c r="AQ5218" s="37"/>
    </row>
    <row r="5219" spans="43:43" x14ac:dyDescent="0.25">
      <c r="AQ5219" s="37"/>
    </row>
    <row r="5220" spans="43:43" x14ac:dyDescent="0.25">
      <c r="AQ5220" s="37"/>
    </row>
    <row r="5221" spans="43:43" x14ac:dyDescent="0.25">
      <c r="AQ5221" s="37"/>
    </row>
    <row r="5222" spans="43:43" x14ac:dyDescent="0.25">
      <c r="AQ5222" s="37"/>
    </row>
    <row r="5223" spans="43:43" x14ac:dyDescent="0.25">
      <c r="AQ5223" s="37"/>
    </row>
    <row r="5224" spans="43:43" x14ac:dyDescent="0.25">
      <c r="AQ5224" s="37"/>
    </row>
    <row r="5225" spans="43:43" x14ac:dyDescent="0.25">
      <c r="AQ5225" s="37"/>
    </row>
    <row r="5226" spans="43:43" x14ac:dyDescent="0.25">
      <c r="AQ5226" s="37"/>
    </row>
    <row r="5227" spans="43:43" x14ac:dyDescent="0.25">
      <c r="AQ5227" s="37"/>
    </row>
    <row r="5228" spans="43:43" x14ac:dyDescent="0.25">
      <c r="AQ5228" s="37"/>
    </row>
    <row r="5229" spans="43:43" x14ac:dyDescent="0.25">
      <c r="AQ5229" s="37"/>
    </row>
    <row r="5230" spans="43:43" x14ac:dyDescent="0.25">
      <c r="AQ5230" s="37"/>
    </row>
    <row r="5231" spans="43:43" x14ac:dyDescent="0.25">
      <c r="AQ5231" s="37"/>
    </row>
    <row r="5232" spans="43:43" x14ac:dyDescent="0.25">
      <c r="AQ5232" s="37"/>
    </row>
    <row r="5233" spans="43:43" x14ac:dyDescent="0.25">
      <c r="AQ5233" s="37"/>
    </row>
    <row r="5234" spans="43:43" x14ac:dyDescent="0.25">
      <c r="AQ5234" s="37"/>
    </row>
    <row r="5235" spans="43:43" x14ac:dyDescent="0.25">
      <c r="AQ5235" s="37"/>
    </row>
    <row r="5236" spans="43:43" x14ac:dyDescent="0.25">
      <c r="AQ5236" s="37"/>
    </row>
    <row r="5237" spans="43:43" x14ac:dyDescent="0.25">
      <c r="AQ5237" s="37"/>
    </row>
    <row r="5238" spans="43:43" x14ac:dyDescent="0.25">
      <c r="AQ5238" s="37"/>
    </row>
    <row r="5239" spans="43:43" x14ac:dyDescent="0.25">
      <c r="AQ5239" s="37"/>
    </row>
    <row r="5240" spans="43:43" x14ac:dyDescent="0.25">
      <c r="AQ5240" s="37"/>
    </row>
    <row r="5241" spans="43:43" x14ac:dyDescent="0.25">
      <c r="AQ5241" s="37"/>
    </row>
    <row r="5242" spans="43:43" x14ac:dyDescent="0.25">
      <c r="AQ5242" s="37"/>
    </row>
    <row r="5243" spans="43:43" x14ac:dyDescent="0.25">
      <c r="AQ5243" s="37"/>
    </row>
    <row r="5244" spans="43:43" x14ac:dyDescent="0.25">
      <c r="AQ5244" s="37"/>
    </row>
    <row r="5245" spans="43:43" x14ac:dyDescent="0.25">
      <c r="AQ5245" s="37"/>
    </row>
    <row r="5246" spans="43:43" x14ac:dyDescent="0.25">
      <c r="AQ5246" s="37"/>
    </row>
    <row r="5247" spans="43:43" x14ac:dyDescent="0.25">
      <c r="AQ5247" s="37"/>
    </row>
    <row r="5248" spans="43:43" x14ac:dyDescent="0.25">
      <c r="AQ5248" s="37"/>
    </row>
    <row r="5249" spans="43:43" x14ac:dyDescent="0.25">
      <c r="AQ5249" s="37"/>
    </row>
    <row r="5250" spans="43:43" x14ac:dyDescent="0.25">
      <c r="AQ5250" s="37"/>
    </row>
    <row r="5251" spans="43:43" x14ac:dyDescent="0.25">
      <c r="AQ5251" s="37"/>
    </row>
    <row r="5252" spans="43:43" x14ac:dyDescent="0.25">
      <c r="AQ5252" s="37"/>
    </row>
    <row r="5253" spans="43:43" x14ac:dyDescent="0.25">
      <c r="AQ5253" s="37"/>
    </row>
    <row r="5254" spans="43:43" x14ac:dyDescent="0.25">
      <c r="AQ5254" s="37"/>
    </row>
    <row r="5255" spans="43:43" x14ac:dyDescent="0.25">
      <c r="AQ5255" s="37"/>
    </row>
    <row r="5256" spans="43:43" x14ac:dyDescent="0.25">
      <c r="AQ5256" s="37"/>
    </row>
    <row r="5257" spans="43:43" x14ac:dyDescent="0.25">
      <c r="AQ5257" s="37"/>
    </row>
    <row r="5258" spans="43:43" x14ac:dyDescent="0.25">
      <c r="AQ5258" s="37"/>
    </row>
    <row r="5259" spans="43:43" x14ac:dyDescent="0.25">
      <c r="AQ5259" s="37"/>
    </row>
    <row r="5260" spans="43:43" x14ac:dyDescent="0.25">
      <c r="AQ5260" s="37"/>
    </row>
    <row r="5261" spans="43:43" x14ac:dyDescent="0.25">
      <c r="AQ5261" s="37"/>
    </row>
    <row r="5262" spans="43:43" x14ac:dyDescent="0.25">
      <c r="AQ5262" s="37"/>
    </row>
    <row r="5263" spans="43:43" x14ac:dyDescent="0.25">
      <c r="AQ5263" s="37"/>
    </row>
    <row r="5264" spans="43:43" x14ac:dyDescent="0.25">
      <c r="AQ5264" s="37"/>
    </row>
    <row r="5265" spans="43:43" x14ac:dyDescent="0.25">
      <c r="AQ5265" s="37"/>
    </row>
    <row r="5266" spans="43:43" x14ac:dyDescent="0.25">
      <c r="AQ5266" s="37"/>
    </row>
    <row r="5267" spans="43:43" x14ac:dyDescent="0.25">
      <c r="AQ5267" s="37"/>
    </row>
    <row r="5268" spans="43:43" x14ac:dyDescent="0.25">
      <c r="AQ5268" s="37"/>
    </row>
    <row r="5269" spans="43:43" x14ac:dyDescent="0.25">
      <c r="AQ5269" s="37"/>
    </row>
    <row r="5270" spans="43:43" x14ac:dyDescent="0.25">
      <c r="AQ5270" s="37"/>
    </row>
    <row r="5271" spans="43:43" x14ac:dyDescent="0.25">
      <c r="AQ5271" s="37"/>
    </row>
    <row r="5272" spans="43:43" x14ac:dyDescent="0.25">
      <c r="AQ5272" s="37"/>
    </row>
    <row r="5273" spans="43:43" x14ac:dyDescent="0.25">
      <c r="AQ5273" s="37"/>
    </row>
    <row r="5274" spans="43:43" x14ac:dyDescent="0.25">
      <c r="AQ5274" s="37"/>
    </row>
    <row r="5275" spans="43:43" x14ac:dyDescent="0.25">
      <c r="AQ5275" s="37"/>
    </row>
    <row r="5276" spans="43:43" x14ac:dyDescent="0.25">
      <c r="AQ5276" s="37"/>
    </row>
    <row r="5277" spans="43:43" x14ac:dyDescent="0.25">
      <c r="AQ5277" s="37"/>
    </row>
    <row r="5278" spans="43:43" x14ac:dyDescent="0.25">
      <c r="AQ5278" s="37"/>
    </row>
    <row r="5279" spans="43:43" x14ac:dyDescent="0.25">
      <c r="AQ5279" s="37"/>
    </row>
    <row r="5280" spans="43:43" x14ac:dyDescent="0.25">
      <c r="AQ5280" s="37"/>
    </row>
    <row r="5281" spans="43:43" x14ac:dyDescent="0.25">
      <c r="AQ5281" s="37"/>
    </row>
    <row r="5282" spans="43:43" x14ac:dyDescent="0.25">
      <c r="AQ5282" s="37"/>
    </row>
    <row r="5283" spans="43:43" x14ac:dyDescent="0.25">
      <c r="AQ5283" s="37"/>
    </row>
    <row r="5284" spans="43:43" x14ac:dyDescent="0.25">
      <c r="AQ5284" s="37"/>
    </row>
    <row r="5285" spans="43:43" x14ac:dyDescent="0.25">
      <c r="AQ5285" s="37"/>
    </row>
    <row r="5286" spans="43:43" x14ac:dyDescent="0.25">
      <c r="AQ5286" s="37"/>
    </row>
    <row r="5287" spans="43:43" x14ac:dyDescent="0.25">
      <c r="AQ5287" s="37"/>
    </row>
    <row r="5288" spans="43:43" x14ac:dyDescent="0.25">
      <c r="AQ5288" s="37"/>
    </row>
    <row r="5289" spans="43:43" x14ac:dyDescent="0.25">
      <c r="AQ5289" s="37"/>
    </row>
    <row r="5290" spans="43:43" x14ac:dyDescent="0.25">
      <c r="AQ5290" s="37"/>
    </row>
    <row r="5291" spans="43:43" x14ac:dyDescent="0.25">
      <c r="AQ5291" s="37"/>
    </row>
    <row r="5292" spans="43:43" x14ac:dyDescent="0.25">
      <c r="AQ5292" s="37"/>
    </row>
    <row r="5293" spans="43:43" x14ac:dyDescent="0.25">
      <c r="AQ5293" s="37"/>
    </row>
    <row r="5294" spans="43:43" x14ac:dyDescent="0.25">
      <c r="AQ5294" s="37"/>
    </row>
    <row r="5295" spans="43:43" x14ac:dyDescent="0.25">
      <c r="AQ5295" s="37"/>
    </row>
    <row r="5296" spans="43:43" x14ac:dyDescent="0.25">
      <c r="AQ5296" s="37"/>
    </row>
    <row r="5297" spans="43:43" x14ac:dyDescent="0.25">
      <c r="AQ5297" s="37"/>
    </row>
    <row r="5298" spans="43:43" x14ac:dyDescent="0.25">
      <c r="AQ5298" s="37"/>
    </row>
    <row r="5299" spans="43:43" x14ac:dyDescent="0.25">
      <c r="AQ5299" s="37"/>
    </row>
    <row r="5300" spans="43:43" x14ac:dyDescent="0.25">
      <c r="AQ5300" s="37"/>
    </row>
    <row r="5301" spans="43:43" x14ac:dyDescent="0.25">
      <c r="AQ5301" s="37"/>
    </row>
    <row r="5302" spans="43:43" x14ac:dyDescent="0.25">
      <c r="AQ5302" s="37"/>
    </row>
    <row r="5303" spans="43:43" x14ac:dyDescent="0.25">
      <c r="AQ5303" s="37"/>
    </row>
    <row r="5304" spans="43:43" x14ac:dyDescent="0.25">
      <c r="AQ5304" s="37"/>
    </row>
    <row r="5305" spans="43:43" x14ac:dyDescent="0.25">
      <c r="AQ5305" s="37"/>
    </row>
    <row r="5306" spans="43:43" x14ac:dyDescent="0.25">
      <c r="AQ5306" s="37"/>
    </row>
    <row r="5307" spans="43:43" x14ac:dyDescent="0.25">
      <c r="AQ5307" s="37"/>
    </row>
    <row r="5308" spans="43:43" x14ac:dyDescent="0.25">
      <c r="AQ5308" s="37"/>
    </row>
    <row r="5309" spans="43:43" x14ac:dyDescent="0.25">
      <c r="AQ5309" s="37"/>
    </row>
    <row r="5310" spans="43:43" x14ac:dyDescent="0.25">
      <c r="AQ5310" s="37"/>
    </row>
    <row r="5311" spans="43:43" x14ac:dyDescent="0.25">
      <c r="AQ5311" s="37"/>
    </row>
    <row r="5312" spans="43:43" x14ac:dyDescent="0.25">
      <c r="AQ5312" s="37"/>
    </row>
    <row r="5313" spans="43:43" x14ac:dyDescent="0.25">
      <c r="AQ5313" s="37"/>
    </row>
    <row r="5314" spans="43:43" x14ac:dyDescent="0.25">
      <c r="AQ5314" s="37"/>
    </row>
    <row r="5315" spans="43:43" x14ac:dyDescent="0.25">
      <c r="AQ5315" s="37"/>
    </row>
    <row r="5316" spans="43:43" x14ac:dyDescent="0.25">
      <c r="AQ5316" s="37"/>
    </row>
    <row r="5317" spans="43:43" x14ac:dyDescent="0.25">
      <c r="AQ5317" s="37"/>
    </row>
    <row r="5318" spans="43:43" x14ac:dyDescent="0.25">
      <c r="AQ5318" s="37"/>
    </row>
    <row r="5319" spans="43:43" x14ac:dyDescent="0.25">
      <c r="AQ5319" s="37"/>
    </row>
    <row r="5320" spans="43:43" x14ac:dyDescent="0.25">
      <c r="AQ5320" s="37"/>
    </row>
    <row r="5321" spans="43:43" x14ac:dyDescent="0.25">
      <c r="AQ5321" s="37"/>
    </row>
    <row r="5322" spans="43:43" x14ac:dyDescent="0.25">
      <c r="AQ5322" s="37"/>
    </row>
    <row r="5323" spans="43:43" x14ac:dyDescent="0.25">
      <c r="AQ5323" s="37"/>
    </row>
    <row r="5324" spans="43:43" x14ac:dyDescent="0.25">
      <c r="AQ5324" s="37"/>
    </row>
    <row r="5325" spans="43:43" x14ac:dyDescent="0.25">
      <c r="AQ5325" s="37"/>
    </row>
    <row r="5326" spans="43:43" x14ac:dyDescent="0.25">
      <c r="AQ5326" s="37"/>
    </row>
    <row r="5327" spans="43:43" x14ac:dyDescent="0.25">
      <c r="AQ5327" s="37"/>
    </row>
    <row r="5328" spans="43:43" x14ac:dyDescent="0.25">
      <c r="AQ5328" s="37"/>
    </row>
    <row r="5329" spans="43:43" x14ac:dyDescent="0.25">
      <c r="AQ5329" s="37"/>
    </row>
    <row r="5330" spans="43:43" x14ac:dyDescent="0.25">
      <c r="AQ5330" s="37"/>
    </row>
    <row r="5331" spans="43:43" x14ac:dyDescent="0.25">
      <c r="AQ5331" s="37"/>
    </row>
    <row r="5332" spans="43:43" x14ac:dyDescent="0.25">
      <c r="AQ5332" s="37"/>
    </row>
    <row r="5333" spans="43:43" x14ac:dyDescent="0.25">
      <c r="AQ5333" s="37"/>
    </row>
    <row r="5334" spans="43:43" x14ac:dyDescent="0.25">
      <c r="AQ5334" s="37"/>
    </row>
    <row r="5335" spans="43:43" x14ac:dyDescent="0.25">
      <c r="AQ5335" s="37"/>
    </row>
    <row r="5336" spans="43:43" x14ac:dyDescent="0.25">
      <c r="AQ5336" s="37"/>
    </row>
    <row r="5337" spans="43:43" x14ac:dyDescent="0.25">
      <c r="AQ5337" s="37"/>
    </row>
    <row r="5338" spans="43:43" x14ac:dyDescent="0.25">
      <c r="AQ5338" s="37"/>
    </row>
    <row r="5339" spans="43:43" x14ac:dyDescent="0.25">
      <c r="AQ5339" s="37"/>
    </row>
    <row r="5340" spans="43:43" x14ac:dyDescent="0.25">
      <c r="AQ5340" s="37"/>
    </row>
    <row r="5341" spans="43:43" x14ac:dyDescent="0.25">
      <c r="AQ5341" s="37"/>
    </row>
    <row r="5342" spans="43:43" x14ac:dyDescent="0.25">
      <c r="AQ5342" s="37"/>
    </row>
    <row r="5343" spans="43:43" x14ac:dyDescent="0.25">
      <c r="AQ5343" s="37"/>
    </row>
    <row r="5344" spans="43:43" x14ac:dyDescent="0.25">
      <c r="AQ5344" s="37"/>
    </row>
    <row r="5345" spans="43:43" x14ac:dyDescent="0.25">
      <c r="AQ5345" s="37"/>
    </row>
    <row r="5346" spans="43:43" x14ac:dyDescent="0.25">
      <c r="AQ5346" s="37"/>
    </row>
    <row r="5347" spans="43:43" x14ac:dyDescent="0.25">
      <c r="AQ5347" s="37"/>
    </row>
    <row r="5348" spans="43:43" x14ac:dyDescent="0.25">
      <c r="AQ5348" s="37"/>
    </row>
    <row r="5349" spans="43:43" x14ac:dyDescent="0.25">
      <c r="AQ5349" s="37"/>
    </row>
    <row r="5350" spans="43:43" x14ac:dyDescent="0.25">
      <c r="AQ5350" s="37"/>
    </row>
    <row r="5351" spans="43:43" x14ac:dyDescent="0.25">
      <c r="AQ5351" s="37"/>
    </row>
    <row r="5352" spans="43:43" x14ac:dyDescent="0.25">
      <c r="AQ5352" s="37"/>
    </row>
    <row r="5353" spans="43:43" x14ac:dyDescent="0.25">
      <c r="AQ5353" s="37"/>
    </row>
    <row r="5354" spans="43:43" x14ac:dyDescent="0.25">
      <c r="AQ5354" s="37"/>
    </row>
    <row r="5355" spans="43:43" x14ac:dyDescent="0.25">
      <c r="AQ5355" s="37"/>
    </row>
    <row r="5356" spans="43:43" x14ac:dyDescent="0.25">
      <c r="AQ5356" s="37"/>
    </row>
    <row r="5357" spans="43:43" x14ac:dyDescent="0.25">
      <c r="AQ5357" s="37"/>
    </row>
    <row r="5358" spans="43:43" x14ac:dyDescent="0.25">
      <c r="AQ5358" s="37"/>
    </row>
    <row r="5359" spans="43:43" x14ac:dyDescent="0.25">
      <c r="AQ5359" s="37"/>
    </row>
    <row r="5360" spans="43:43" x14ac:dyDescent="0.25">
      <c r="AQ5360" s="37"/>
    </row>
    <row r="5361" spans="43:43" x14ac:dyDescent="0.25">
      <c r="AQ5361" s="37"/>
    </row>
    <row r="5362" spans="43:43" x14ac:dyDescent="0.25">
      <c r="AQ5362" s="37"/>
    </row>
    <row r="5363" spans="43:43" x14ac:dyDescent="0.25">
      <c r="AQ5363" s="37"/>
    </row>
    <row r="5364" spans="43:43" x14ac:dyDescent="0.25">
      <c r="AQ5364" s="37"/>
    </row>
    <row r="5365" spans="43:43" x14ac:dyDescent="0.25">
      <c r="AQ5365" s="37"/>
    </row>
    <row r="5366" spans="43:43" x14ac:dyDescent="0.25">
      <c r="AQ5366" s="37"/>
    </row>
    <row r="5367" spans="43:43" x14ac:dyDescent="0.25">
      <c r="AQ5367" s="37"/>
    </row>
    <row r="5368" spans="43:43" x14ac:dyDescent="0.25">
      <c r="AQ5368" s="37"/>
    </row>
    <row r="5369" spans="43:43" x14ac:dyDescent="0.25">
      <c r="AQ5369" s="37"/>
    </row>
    <row r="5370" spans="43:43" x14ac:dyDescent="0.25">
      <c r="AQ5370" s="37"/>
    </row>
    <row r="5371" spans="43:43" x14ac:dyDescent="0.25">
      <c r="AQ5371" s="37"/>
    </row>
    <row r="5372" spans="43:43" x14ac:dyDescent="0.25">
      <c r="AQ5372" s="37"/>
    </row>
    <row r="5373" spans="43:43" x14ac:dyDescent="0.25">
      <c r="AQ5373" s="37"/>
    </row>
    <row r="5374" spans="43:43" x14ac:dyDescent="0.25">
      <c r="AQ5374" s="37"/>
    </row>
    <row r="5375" spans="43:43" x14ac:dyDescent="0.25">
      <c r="AQ5375" s="37"/>
    </row>
    <row r="5376" spans="43:43" x14ac:dyDescent="0.25">
      <c r="AQ5376" s="37"/>
    </row>
    <row r="5377" spans="43:43" x14ac:dyDescent="0.25">
      <c r="AQ5377" s="37"/>
    </row>
    <row r="5378" spans="43:43" x14ac:dyDescent="0.25">
      <c r="AQ5378" s="37"/>
    </row>
    <row r="5379" spans="43:43" x14ac:dyDescent="0.25">
      <c r="AQ5379" s="37"/>
    </row>
    <row r="5380" spans="43:43" x14ac:dyDescent="0.25">
      <c r="AQ5380" s="37"/>
    </row>
    <row r="5381" spans="43:43" x14ac:dyDescent="0.25">
      <c r="AQ5381" s="37"/>
    </row>
    <row r="5382" spans="43:43" x14ac:dyDescent="0.25">
      <c r="AQ5382" s="37"/>
    </row>
    <row r="5383" spans="43:43" x14ac:dyDescent="0.25">
      <c r="AQ5383" s="37"/>
    </row>
    <row r="5384" spans="43:43" x14ac:dyDescent="0.25">
      <c r="AQ5384" s="37"/>
    </row>
    <row r="5385" spans="43:43" x14ac:dyDescent="0.25">
      <c r="AQ5385" s="37"/>
    </row>
    <row r="5386" spans="43:43" x14ac:dyDescent="0.25">
      <c r="AQ5386" s="37"/>
    </row>
    <row r="5387" spans="43:43" x14ac:dyDescent="0.25">
      <c r="AQ5387" s="37"/>
    </row>
    <row r="5388" spans="43:43" x14ac:dyDescent="0.25">
      <c r="AQ5388" s="37"/>
    </row>
    <row r="5389" spans="43:43" x14ac:dyDescent="0.25">
      <c r="AQ5389" s="37"/>
    </row>
    <row r="5390" spans="43:43" x14ac:dyDescent="0.25">
      <c r="AQ5390" s="37"/>
    </row>
    <row r="5391" spans="43:43" x14ac:dyDescent="0.25">
      <c r="AQ5391" s="37"/>
    </row>
    <row r="5392" spans="43:43" x14ac:dyDescent="0.25">
      <c r="AQ5392" s="37"/>
    </row>
    <row r="5393" spans="43:43" x14ac:dyDescent="0.25">
      <c r="AQ5393" s="37"/>
    </row>
    <row r="5394" spans="43:43" x14ac:dyDescent="0.25">
      <c r="AQ5394" s="37"/>
    </row>
    <row r="5395" spans="43:43" x14ac:dyDescent="0.25">
      <c r="AQ5395" s="37"/>
    </row>
    <row r="5396" spans="43:43" x14ac:dyDescent="0.25">
      <c r="AQ5396" s="37"/>
    </row>
    <row r="5397" spans="43:43" x14ac:dyDescent="0.25">
      <c r="AQ5397" s="37"/>
    </row>
    <row r="5398" spans="43:43" x14ac:dyDescent="0.25">
      <c r="AQ5398" s="37"/>
    </row>
    <row r="5399" spans="43:43" x14ac:dyDescent="0.25">
      <c r="AQ5399" s="37"/>
    </row>
    <row r="5400" spans="43:43" x14ac:dyDescent="0.25">
      <c r="AQ5400" s="37"/>
    </row>
    <row r="5401" spans="43:43" x14ac:dyDescent="0.25">
      <c r="AQ5401" s="37"/>
    </row>
    <row r="5402" spans="43:43" x14ac:dyDescent="0.25">
      <c r="AQ5402" s="37"/>
    </row>
    <row r="5403" spans="43:43" x14ac:dyDescent="0.25">
      <c r="AQ5403" s="37"/>
    </row>
    <row r="5404" spans="43:43" x14ac:dyDescent="0.25">
      <c r="AQ5404" s="37"/>
    </row>
    <row r="5405" spans="43:43" x14ac:dyDescent="0.25">
      <c r="AQ5405" s="37"/>
    </row>
    <row r="5406" spans="43:43" x14ac:dyDescent="0.25">
      <c r="AQ5406" s="37"/>
    </row>
    <row r="5407" spans="43:43" x14ac:dyDescent="0.25">
      <c r="AQ5407" s="37"/>
    </row>
    <row r="5408" spans="43:43" x14ac:dyDescent="0.25">
      <c r="AQ5408" s="37"/>
    </row>
    <row r="5409" spans="43:43" x14ac:dyDescent="0.25">
      <c r="AQ5409" s="37"/>
    </row>
    <row r="5410" spans="43:43" x14ac:dyDescent="0.25">
      <c r="AQ5410" s="37"/>
    </row>
    <row r="5411" spans="43:43" x14ac:dyDescent="0.25">
      <c r="AQ5411" s="37"/>
    </row>
    <row r="5412" spans="43:43" x14ac:dyDescent="0.25">
      <c r="AQ5412" s="37"/>
    </row>
    <row r="5413" spans="43:43" x14ac:dyDescent="0.25">
      <c r="AQ5413" s="37"/>
    </row>
    <row r="5414" spans="43:43" x14ac:dyDescent="0.25">
      <c r="AQ5414" s="37"/>
    </row>
    <row r="5415" spans="43:43" x14ac:dyDescent="0.25">
      <c r="AQ5415" s="37"/>
    </row>
    <row r="5416" spans="43:43" x14ac:dyDescent="0.25">
      <c r="AQ5416" s="37"/>
    </row>
    <row r="5417" spans="43:43" x14ac:dyDescent="0.25">
      <c r="AQ5417" s="37"/>
    </row>
    <row r="5418" spans="43:43" x14ac:dyDescent="0.25">
      <c r="AQ5418" s="37"/>
    </row>
    <row r="5419" spans="43:43" x14ac:dyDescent="0.25">
      <c r="AQ5419" s="37"/>
    </row>
    <row r="5420" spans="43:43" x14ac:dyDescent="0.25">
      <c r="AQ5420" s="37"/>
    </row>
    <row r="5421" spans="43:43" x14ac:dyDescent="0.25">
      <c r="AQ5421" s="37"/>
    </row>
    <row r="5422" spans="43:43" x14ac:dyDescent="0.25">
      <c r="AQ5422" s="37"/>
    </row>
    <row r="5423" spans="43:43" x14ac:dyDescent="0.25">
      <c r="AQ5423" s="37"/>
    </row>
    <row r="5424" spans="43:43" x14ac:dyDescent="0.25">
      <c r="AQ5424" s="37"/>
    </row>
    <row r="5425" spans="43:43" x14ac:dyDescent="0.25">
      <c r="AQ5425" s="37"/>
    </row>
    <row r="5426" spans="43:43" x14ac:dyDescent="0.25">
      <c r="AQ5426" s="37"/>
    </row>
    <row r="5427" spans="43:43" x14ac:dyDescent="0.25">
      <c r="AQ5427" s="37"/>
    </row>
    <row r="5428" spans="43:43" x14ac:dyDescent="0.25">
      <c r="AQ5428" s="37"/>
    </row>
    <row r="5429" spans="43:43" x14ac:dyDescent="0.25">
      <c r="AQ5429" s="37"/>
    </row>
    <row r="5430" spans="43:43" x14ac:dyDescent="0.25">
      <c r="AQ5430" s="37"/>
    </row>
    <row r="5431" spans="43:43" x14ac:dyDescent="0.25">
      <c r="AQ5431" s="37"/>
    </row>
    <row r="5432" spans="43:43" x14ac:dyDescent="0.25">
      <c r="AQ5432" s="37"/>
    </row>
    <row r="5433" spans="43:43" x14ac:dyDescent="0.25">
      <c r="AQ5433" s="37"/>
    </row>
    <row r="5434" spans="43:43" x14ac:dyDescent="0.25">
      <c r="AQ5434" s="37"/>
    </row>
    <row r="5435" spans="43:43" x14ac:dyDescent="0.25">
      <c r="AQ5435" s="37"/>
    </row>
    <row r="5436" spans="43:43" x14ac:dyDescent="0.25">
      <c r="AQ5436" s="37"/>
    </row>
    <row r="5437" spans="43:43" x14ac:dyDescent="0.25">
      <c r="AQ5437" s="37"/>
    </row>
    <row r="5438" spans="43:43" x14ac:dyDescent="0.25">
      <c r="AQ5438" s="37"/>
    </row>
    <row r="5439" spans="43:43" x14ac:dyDescent="0.25">
      <c r="AQ5439" s="37"/>
    </row>
    <row r="5440" spans="43:43" x14ac:dyDescent="0.25">
      <c r="AQ5440" s="37"/>
    </row>
    <row r="5441" spans="43:43" x14ac:dyDescent="0.25">
      <c r="AQ5441" s="37"/>
    </row>
    <row r="5442" spans="43:43" x14ac:dyDescent="0.25">
      <c r="AQ5442" s="37"/>
    </row>
    <row r="5443" spans="43:43" x14ac:dyDescent="0.25">
      <c r="AQ5443" s="37"/>
    </row>
    <row r="5444" spans="43:43" x14ac:dyDescent="0.25">
      <c r="AQ5444" s="37"/>
    </row>
    <row r="5445" spans="43:43" x14ac:dyDescent="0.25">
      <c r="AQ5445" s="37"/>
    </row>
    <row r="5446" spans="43:43" x14ac:dyDescent="0.25">
      <c r="AQ5446" s="37"/>
    </row>
    <row r="5447" spans="43:43" x14ac:dyDescent="0.25">
      <c r="AQ5447" s="37"/>
    </row>
    <row r="5448" spans="43:43" x14ac:dyDescent="0.25">
      <c r="AQ5448" s="37"/>
    </row>
    <row r="5449" spans="43:43" x14ac:dyDescent="0.25">
      <c r="AQ5449" s="37"/>
    </row>
    <row r="5450" spans="43:43" x14ac:dyDescent="0.25">
      <c r="AQ5450" s="37"/>
    </row>
    <row r="5451" spans="43:43" x14ac:dyDescent="0.25">
      <c r="AQ5451" s="37"/>
    </row>
    <row r="5452" spans="43:43" x14ac:dyDescent="0.25">
      <c r="AQ5452" s="37"/>
    </row>
    <row r="5453" spans="43:43" x14ac:dyDescent="0.25">
      <c r="AQ5453" s="37"/>
    </row>
    <row r="5454" spans="43:43" x14ac:dyDescent="0.25">
      <c r="AQ5454" s="37"/>
    </row>
    <row r="5455" spans="43:43" x14ac:dyDescent="0.25">
      <c r="AQ5455" s="37"/>
    </row>
    <row r="5456" spans="43:43" x14ac:dyDescent="0.25">
      <c r="AQ5456" s="37"/>
    </row>
    <row r="5457" spans="43:43" x14ac:dyDescent="0.25">
      <c r="AQ5457" s="37"/>
    </row>
    <row r="5458" spans="43:43" x14ac:dyDescent="0.25">
      <c r="AQ5458" s="37"/>
    </row>
    <row r="5459" spans="43:43" x14ac:dyDescent="0.25">
      <c r="AQ5459" s="37"/>
    </row>
    <row r="5460" spans="43:43" x14ac:dyDescent="0.25">
      <c r="AQ5460" s="37"/>
    </row>
    <row r="5461" spans="43:43" x14ac:dyDescent="0.25">
      <c r="AQ5461" s="37"/>
    </row>
    <row r="5462" spans="43:43" x14ac:dyDescent="0.25">
      <c r="AQ5462" s="37"/>
    </row>
    <row r="5463" spans="43:43" x14ac:dyDescent="0.25">
      <c r="AQ5463" s="37"/>
    </row>
    <row r="5464" spans="43:43" x14ac:dyDescent="0.25">
      <c r="AQ5464" s="37"/>
    </row>
    <row r="5465" spans="43:43" x14ac:dyDescent="0.25">
      <c r="AQ5465" s="37"/>
    </row>
    <row r="5466" spans="43:43" x14ac:dyDescent="0.25">
      <c r="AQ5466" s="37"/>
    </row>
    <row r="5467" spans="43:43" x14ac:dyDescent="0.25">
      <c r="AQ5467" s="37"/>
    </row>
    <row r="5468" spans="43:43" x14ac:dyDescent="0.25">
      <c r="AQ5468" s="37"/>
    </row>
    <row r="5469" spans="43:43" x14ac:dyDescent="0.25">
      <c r="AQ5469" s="37"/>
    </row>
    <row r="5470" spans="43:43" x14ac:dyDescent="0.25">
      <c r="AQ5470" s="37"/>
    </row>
    <row r="5471" spans="43:43" x14ac:dyDescent="0.25">
      <c r="AQ5471" s="37"/>
    </row>
    <row r="5472" spans="43:43" x14ac:dyDescent="0.25">
      <c r="AQ5472" s="37"/>
    </row>
    <row r="5473" spans="43:43" x14ac:dyDescent="0.25">
      <c r="AQ5473" s="37"/>
    </row>
    <row r="5474" spans="43:43" x14ac:dyDescent="0.25">
      <c r="AQ5474" s="37"/>
    </row>
    <row r="5475" spans="43:43" x14ac:dyDescent="0.25">
      <c r="AQ5475" s="37"/>
    </row>
    <row r="5476" spans="43:43" x14ac:dyDescent="0.25">
      <c r="AQ5476" s="37"/>
    </row>
    <row r="5477" spans="43:43" x14ac:dyDescent="0.25">
      <c r="AQ5477" s="37"/>
    </row>
    <row r="5478" spans="43:43" x14ac:dyDescent="0.25">
      <c r="AQ5478" s="37"/>
    </row>
    <row r="5479" spans="43:43" x14ac:dyDescent="0.25">
      <c r="AQ5479" s="37"/>
    </row>
    <row r="5480" spans="43:43" x14ac:dyDescent="0.25">
      <c r="AQ5480" s="37"/>
    </row>
    <row r="5481" spans="43:43" x14ac:dyDescent="0.25">
      <c r="AQ5481" s="37"/>
    </row>
    <row r="5482" spans="43:43" x14ac:dyDescent="0.25">
      <c r="AQ5482" s="37"/>
    </row>
    <row r="5483" spans="43:43" x14ac:dyDescent="0.25">
      <c r="AQ5483" s="37"/>
    </row>
    <row r="5484" spans="43:43" x14ac:dyDescent="0.25">
      <c r="AQ5484" s="37"/>
    </row>
    <row r="5485" spans="43:43" x14ac:dyDescent="0.25">
      <c r="AQ5485" s="37"/>
    </row>
    <row r="5486" spans="43:43" x14ac:dyDescent="0.25">
      <c r="AQ5486" s="37"/>
    </row>
    <row r="5487" spans="43:43" x14ac:dyDescent="0.25">
      <c r="AQ5487" s="37"/>
    </row>
    <row r="5488" spans="43:43" x14ac:dyDescent="0.25">
      <c r="AQ5488" s="37"/>
    </row>
    <row r="5489" spans="43:43" x14ac:dyDescent="0.25">
      <c r="AQ5489" s="37"/>
    </row>
    <row r="5490" spans="43:43" x14ac:dyDescent="0.25">
      <c r="AQ5490" s="37"/>
    </row>
    <row r="5491" spans="43:43" x14ac:dyDescent="0.25">
      <c r="AQ5491" s="37"/>
    </row>
    <row r="5492" spans="43:43" x14ac:dyDescent="0.25">
      <c r="AQ5492" s="37"/>
    </row>
    <row r="5493" spans="43:43" x14ac:dyDescent="0.25">
      <c r="AQ5493" s="37"/>
    </row>
    <row r="5494" spans="43:43" x14ac:dyDescent="0.25">
      <c r="AQ5494" s="37"/>
    </row>
    <row r="5495" spans="43:43" x14ac:dyDescent="0.25">
      <c r="AQ5495" s="37"/>
    </row>
    <row r="5496" spans="43:43" x14ac:dyDescent="0.25">
      <c r="AQ5496" s="37"/>
    </row>
    <row r="5497" spans="43:43" x14ac:dyDescent="0.25">
      <c r="AQ5497" s="37"/>
    </row>
    <row r="5498" spans="43:43" x14ac:dyDescent="0.25">
      <c r="AQ5498" s="37"/>
    </row>
    <row r="5499" spans="43:43" x14ac:dyDescent="0.25">
      <c r="AQ5499" s="37"/>
    </row>
    <row r="5500" spans="43:43" x14ac:dyDescent="0.25">
      <c r="AQ5500" s="37"/>
    </row>
    <row r="5501" spans="43:43" x14ac:dyDescent="0.25">
      <c r="AQ5501" s="37"/>
    </row>
    <row r="5502" spans="43:43" x14ac:dyDescent="0.25">
      <c r="AQ5502" s="37"/>
    </row>
    <row r="5503" spans="43:43" x14ac:dyDescent="0.25">
      <c r="AQ5503" s="37"/>
    </row>
    <row r="5504" spans="43:43" x14ac:dyDescent="0.25">
      <c r="AQ5504" s="37"/>
    </row>
    <row r="5505" spans="43:43" x14ac:dyDescent="0.25">
      <c r="AQ5505" s="37"/>
    </row>
    <row r="5506" spans="43:43" x14ac:dyDescent="0.25">
      <c r="AQ5506" s="37"/>
    </row>
    <row r="5507" spans="43:43" x14ac:dyDescent="0.25">
      <c r="AQ5507" s="37"/>
    </row>
    <row r="5508" spans="43:43" x14ac:dyDescent="0.25">
      <c r="AQ5508" s="37"/>
    </row>
    <row r="5509" spans="43:43" x14ac:dyDescent="0.25">
      <c r="AQ5509" s="37"/>
    </row>
    <row r="5510" spans="43:43" x14ac:dyDescent="0.25">
      <c r="AQ5510" s="37"/>
    </row>
    <row r="5511" spans="43:43" x14ac:dyDescent="0.25">
      <c r="AQ5511" s="37"/>
    </row>
    <row r="5512" spans="43:43" x14ac:dyDescent="0.25">
      <c r="AQ5512" s="37"/>
    </row>
    <row r="5513" spans="43:43" x14ac:dyDescent="0.25">
      <c r="AQ5513" s="37"/>
    </row>
    <row r="5514" spans="43:43" x14ac:dyDescent="0.25">
      <c r="AQ5514" s="37"/>
    </row>
    <row r="5515" spans="43:43" x14ac:dyDescent="0.25">
      <c r="AQ5515" s="37"/>
    </row>
    <row r="5516" spans="43:43" x14ac:dyDescent="0.25">
      <c r="AQ5516" s="37"/>
    </row>
    <row r="5517" spans="43:43" x14ac:dyDescent="0.25">
      <c r="AQ5517" s="37"/>
    </row>
    <row r="5518" spans="43:43" x14ac:dyDescent="0.25">
      <c r="AQ5518" s="37"/>
    </row>
    <row r="5519" spans="43:43" x14ac:dyDescent="0.25">
      <c r="AQ5519" s="37"/>
    </row>
    <row r="5520" spans="43:43" x14ac:dyDescent="0.25">
      <c r="AQ5520" s="37"/>
    </row>
    <row r="5521" spans="43:43" x14ac:dyDescent="0.25">
      <c r="AQ5521" s="37"/>
    </row>
    <row r="5522" spans="43:43" x14ac:dyDescent="0.25">
      <c r="AQ5522" s="37"/>
    </row>
    <row r="5523" spans="43:43" x14ac:dyDescent="0.25">
      <c r="AQ5523" s="37"/>
    </row>
    <row r="5524" spans="43:43" x14ac:dyDescent="0.25">
      <c r="AQ5524" s="37"/>
    </row>
    <row r="5525" spans="43:43" x14ac:dyDescent="0.25">
      <c r="AQ5525" s="37"/>
    </row>
    <row r="5526" spans="43:43" x14ac:dyDescent="0.25">
      <c r="AQ5526" s="37"/>
    </row>
    <row r="5527" spans="43:43" x14ac:dyDescent="0.25">
      <c r="AQ5527" s="37"/>
    </row>
    <row r="5528" spans="43:43" x14ac:dyDescent="0.25">
      <c r="AQ5528" s="37"/>
    </row>
    <row r="5529" spans="43:43" x14ac:dyDescent="0.25">
      <c r="AQ5529" s="37"/>
    </row>
    <row r="5530" spans="43:43" x14ac:dyDescent="0.25">
      <c r="AQ5530" s="37"/>
    </row>
    <row r="5531" spans="43:43" x14ac:dyDescent="0.25">
      <c r="AQ5531" s="37"/>
    </row>
    <row r="5532" spans="43:43" x14ac:dyDescent="0.25">
      <c r="AQ5532" s="37"/>
    </row>
    <row r="5533" spans="43:43" x14ac:dyDescent="0.25">
      <c r="AQ5533" s="37"/>
    </row>
    <row r="5534" spans="43:43" x14ac:dyDescent="0.25">
      <c r="AQ5534" s="37"/>
    </row>
    <row r="5535" spans="43:43" x14ac:dyDescent="0.25">
      <c r="AQ5535" s="37"/>
    </row>
    <row r="5536" spans="43:43" x14ac:dyDescent="0.25">
      <c r="AQ5536" s="37"/>
    </row>
    <row r="5537" spans="43:43" x14ac:dyDescent="0.25">
      <c r="AQ5537" s="37"/>
    </row>
    <row r="5538" spans="43:43" x14ac:dyDescent="0.25">
      <c r="AQ5538" s="37"/>
    </row>
    <row r="5539" spans="43:43" x14ac:dyDescent="0.25">
      <c r="AQ5539" s="37"/>
    </row>
    <row r="5540" spans="43:43" x14ac:dyDescent="0.25">
      <c r="AQ5540" s="37"/>
    </row>
    <row r="5541" spans="43:43" x14ac:dyDescent="0.25">
      <c r="AQ5541" s="37"/>
    </row>
    <row r="5542" spans="43:43" x14ac:dyDescent="0.25">
      <c r="AQ5542" s="37"/>
    </row>
    <row r="5543" spans="43:43" x14ac:dyDescent="0.25">
      <c r="AQ5543" s="37"/>
    </row>
    <row r="5544" spans="43:43" x14ac:dyDescent="0.25">
      <c r="AQ5544" s="37"/>
    </row>
    <row r="5545" spans="43:43" x14ac:dyDescent="0.25">
      <c r="AQ5545" s="37"/>
    </row>
    <row r="5546" spans="43:43" x14ac:dyDescent="0.25">
      <c r="AQ5546" s="37"/>
    </row>
    <row r="5547" spans="43:43" x14ac:dyDescent="0.25">
      <c r="AQ5547" s="37"/>
    </row>
    <row r="5548" spans="43:43" x14ac:dyDescent="0.25">
      <c r="AQ5548" s="37"/>
    </row>
    <row r="5549" spans="43:43" x14ac:dyDescent="0.25">
      <c r="AQ5549" s="37"/>
    </row>
    <row r="5550" spans="43:43" x14ac:dyDescent="0.25">
      <c r="AQ5550" s="37"/>
    </row>
    <row r="5551" spans="43:43" x14ac:dyDescent="0.25">
      <c r="AQ5551" s="37"/>
    </row>
    <row r="5552" spans="43:43" x14ac:dyDescent="0.25">
      <c r="AQ5552" s="37"/>
    </row>
    <row r="5553" spans="43:43" x14ac:dyDescent="0.25">
      <c r="AQ5553" s="37"/>
    </row>
    <row r="5554" spans="43:43" x14ac:dyDescent="0.25">
      <c r="AQ5554" s="37"/>
    </row>
    <row r="5555" spans="43:43" x14ac:dyDescent="0.25">
      <c r="AQ5555" s="37"/>
    </row>
    <row r="5556" spans="43:43" x14ac:dyDescent="0.25">
      <c r="AQ5556" s="37"/>
    </row>
    <row r="5557" spans="43:43" x14ac:dyDescent="0.25">
      <c r="AQ5557" s="37"/>
    </row>
    <row r="5558" spans="43:43" x14ac:dyDescent="0.25">
      <c r="AQ5558" s="37"/>
    </row>
    <row r="5559" spans="43:43" x14ac:dyDescent="0.25">
      <c r="AQ5559" s="37"/>
    </row>
    <row r="5560" spans="43:43" x14ac:dyDescent="0.25">
      <c r="AQ5560" s="37"/>
    </row>
    <row r="5561" spans="43:43" x14ac:dyDescent="0.25">
      <c r="AQ5561" s="37"/>
    </row>
    <row r="5562" spans="43:43" x14ac:dyDescent="0.25">
      <c r="AQ5562" s="37"/>
    </row>
    <row r="5563" spans="43:43" x14ac:dyDescent="0.25">
      <c r="AQ5563" s="37"/>
    </row>
    <row r="5564" spans="43:43" x14ac:dyDescent="0.25">
      <c r="AQ5564" s="37"/>
    </row>
    <row r="5565" spans="43:43" x14ac:dyDescent="0.25">
      <c r="AQ5565" s="37"/>
    </row>
    <row r="5566" spans="43:43" x14ac:dyDescent="0.25">
      <c r="AQ5566" s="37"/>
    </row>
    <row r="5567" spans="43:43" x14ac:dyDescent="0.25">
      <c r="AQ5567" s="37"/>
    </row>
    <row r="5568" spans="43:43" x14ac:dyDescent="0.25">
      <c r="AQ5568" s="37"/>
    </row>
    <row r="5569" spans="43:43" x14ac:dyDescent="0.25">
      <c r="AQ5569" s="37"/>
    </row>
    <row r="5570" spans="43:43" x14ac:dyDescent="0.25">
      <c r="AQ5570" s="37"/>
    </row>
    <row r="5571" spans="43:43" x14ac:dyDescent="0.25">
      <c r="AQ5571" s="37"/>
    </row>
    <row r="5572" spans="43:43" x14ac:dyDescent="0.25">
      <c r="AQ5572" s="37"/>
    </row>
    <row r="5573" spans="43:43" x14ac:dyDescent="0.25">
      <c r="AQ5573" s="37"/>
    </row>
    <row r="5574" spans="43:43" x14ac:dyDescent="0.25">
      <c r="AQ5574" s="37"/>
    </row>
    <row r="5575" spans="43:43" x14ac:dyDescent="0.25">
      <c r="AQ5575" s="37"/>
    </row>
    <row r="5576" spans="43:43" x14ac:dyDescent="0.25">
      <c r="AQ5576" s="37"/>
    </row>
    <row r="5577" spans="43:43" x14ac:dyDescent="0.25">
      <c r="AQ5577" s="37"/>
    </row>
    <row r="5578" spans="43:43" x14ac:dyDescent="0.25">
      <c r="AQ5578" s="37"/>
    </row>
    <row r="5579" spans="43:43" x14ac:dyDescent="0.25">
      <c r="AQ5579" s="37"/>
    </row>
    <row r="5580" spans="43:43" x14ac:dyDescent="0.25">
      <c r="AQ5580" s="37"/>
    </row>
    <row r="5581" spans="43:43" x14ac:dyDescent="0.25">
      <c r="AQ5581" s="37"/>
    </row>
    <row r="5582" spans="43:43" x14ac:dyDescent="0.25">
      <c r="AQ5582" s="37"/>
    </row>
    <row r="5583" spans="43:43" x14ac:dyDescent="0.25">
      <c r="AQ5583" s="37"/>
    </row>
    <row r="5584" spans="43:43" x14ac:dyDescent="0.25">
      <c r="AQ5584" s="37"/>
    </row>
    <row r="5585" spans="43:43" x14ac:dyDescent="0.25">
      <c r="AQ5585" s="37"/>
    </row>
    <row r="5586" spans="43:43" x14ac:dyDescent="0.25">
      <c r="AQ5586" s="37"/>
    </row>
    <row r="5587" spans="43:43" x14ac:dyDescent="0.25">
      <c r="AQ5587" s="37"/>
    </row>
    <row r="5588" spans="43:43" x14ac:dyDescent="0.25">
      <c r="AQ5588" s="37"/>
    </row>
    <row r="5589" spans="43:43" x14ac:dyDescent="0.25">
      <c r="AQ5589" s="37"/>
    </row>
    <row r="5590" spans="43:43" x14ac:dyDescent="0.25">
      <c r="AQ5590" s="37"/>
    </row>
    <row r="5591" spans="43:43" x14ac:dyDescent="0.25">
      <c r="AQ5591" s="37"/>
    </row>
    <row r="5592" spans="43:43" x14ac:dyDescent="0.25">
      <c r="AQ5592" s="37"/>
    </row>
    <row r="5593" spans="43:43" x14ac:dyDescent="0.25">
      <c r="AQ5593" s="37"/>
    </row>
    <row r="5594" spans="43:43" x14ac:dyDescent="0.25">
      <c r="AQ5594" s="37"/>
    </row>
    <row r="5595" spans="43:43" x14ac:dyDescent="0.25">
      <c r="AQ5595" s="37"/>
    </row>
    <row r="5596" spans="43:43" x14ac:dyDescent="0.25">
      <c r="AQ5596" s="37"/>
    </row>
    <row r="5597" spans="43:43" x14ac:dyDescent="0.25">
      <c r="AQ5597" s="37"/>
    </row>
    <row r="5598" spans="43:43" x14ac:dyDescent="0.25">
      <c r="AQ5598" s="37"/>
    </row>
    <row r="5599" spans="43:43" x14ac:dyDescent="0.25">
      <c r="AQ5599" s="37"/>
    </row>
    <row r="5600" spans="43:43" x14ac:dyDescent="0.25">
      <c r="AQ5600" s="37"/>
    </row>
    <row r="5601" spans="43:43" x14ac:dyDescent="0.25">
      <c r="AQ5601" s="37"/>
    </row>
    <row r="5602" spans="43:43" x14ac:dyDescent="0.25">
      <c r="AQ5602" s="37"/>
    </row>
    <row r="5603" spans="43:43" x14ac:dyDescent="0.25">
      <c r="AQ5603" s="37"/>
    </row>
    <row r="5604" spans="43:43" x14ac:dyDescent="0.25">
      <c r="AQ5604" s="37"/>
    </row>
    <row r="5605" spans="43:43" x14ac:dyDescent="0.25">
      <c r="AQ5605" s="37"/>
    </row>
    <row r="5606" spans="43:43" x14ac:dyDescent="0.25">
      <c r="AQ5606" s="37"/>
    </row>
    <row r="5607" spans="43:43" x14ac:dyDescent="0.25">
      <c r="AQ5607" s="37"/>
    </row>
    <row r="5608" spans="43:43" x14ac:dyDescent="0.25">
      <c r="AQ5608" s="37"/>
    </row>
    <row r="5609" spans="43:43" x14ac:dyDescent="0.25">
      <c r="AQ5609" s="37"/>
    </row>
    <row r="5610" spans="43:43" x14ac:dyDescent="0.25">
      <c r="AQ5610" s="37"/>
    </row>
    <row r="5611" spans="43:43" x14ac:dyDescent="0.25">
      <c r="AQ5611" s="37"/>
    </row>
    <row r="5612" spans="43:43" x14ac:dyDescent="0.25">
      <c r="AQ5612" s="37"/>
    </row>
    <row r="5613" spans="43:43" x14ac:dyDescent="0.25">
      <c r="AQ5613" s="37"/>
    </row>
    <row r="5614" spans="43:43" x14ac:dyDescent="0.25">
      <c r="AQ5614" s="37"/>
    </row>
    <row r="5615" spans="43:43" x14ac:dyDescent="0.25">
      <c r="AQ5615" s="37"/>
    </row>
    <row r="5616" spans="43:43" x14ac:dyDescent="0.25">
      <c r="AQ5616" s="37"/>
    </row>
    <row r="5617" spans="43:43" x14ac:dyDescent="0.25">
      <c r="AQ5617" s="37"/>
    </row>
    <row r="5618" spans="43:43" x14ac:dyDescent="0.25">
      <c r="AQ5618" s="37"/>
    </row>
    <row r="5619" spans="43:43" x14ac:dyDescent="0.25">
      <c r="AQ5619" s="37"/>
    </row>
    <row r="5620" spans="43:43" x14ac:dyDescent="0.25">
      <c r="AQ5620" s="37"/>
    </row>
    <row r="5621" spans="43:43" x14ac:dyDescent="0.25">
      <c r="AQ5621" s="37"/>
    </row>
    <row r="5622" spans="43:43" x14ac:dyDescent="0.25">
      <c r="AQ5622" s="37"/>
    </row>
    <row r="5623" spans="43:43" x14ac:dyDescent="0.25">
      <c r="AQ5623" s="37"/>
    </row>
    <row r="5624" spans="43:43" x14ac:dyDescent="0.25">
      <c r="AQ5624" s="37"/>
    </row>
    <row r="5625" spans="43:43" x14ac:dyDescent="0.25">
      <c r="AQ5625" s="37"/>
    </row>
    <row r="5626" spans="43:43" x14ac:dyDescent="0.25">
      <c r="AQ5626" s="37"/>
    </row>
    <row r="5627" spans="43:43" x14ac:dyDescent="0.25">
      <c r="AQ5627" s="37"/>
    </row>
    <row r="5628" spans="43:43" x14ac:dyDescent="0.25">
      <c r="AQ5628" s="37"/>
    </row>
    <row r="5629" spans="43:43" x14ac:dyDescent="0.25">
      <c r="AQ5629" s="37"/>
    </row>
    <row r="5630" spans="43:43" x14ac:dyDescent="0.25">
      <c r="AQ5630" s="37"/>
    </row>
    <row r="5631" spans="43:43" x14ac:dyDescent="0.25">
      <c r="AQ5631" s="37"/>
    </row>
    <row r="5632" spans="43:43" x14ac:dyDescent="0.25">
      <c r="AQ5632" s="37"/>
    </row>
    <row r="5633" spans="43:43" x14ac:dyDescent="0.25">
      <c r="AQ5633" s="37"/>
    </row>
    <row r="5634" spans="43:43" x14ac:dyDescent="0.25">
      <c r="AQ5634" s="37"/>
    </row>
    <row r="5635" spans="43:43" x14ac:dyDescent="0.25">
      <c r="AQ5635" s="37"/>
    </row>
    <row r="5636" spans="43:43" x14ac:dyDescent="0.25">
      <c r="AQ5636" s="37"/>
    </row>
    <row r="5637" spans="43:43" x14ac:dyDescent="0.25">
      <c r="AQ5637" s="37"/>
    </row>
    <row r="5638" spans="43:43" x14ac:dyDescent="0.25">
      <c r="AQ5638" s="37"/>
    </row>
    <row r="5639" spans="43:43" x14ac:dyDescent="0.25">
      <c r="AQ5639" s="37"/>
    </row>
    <row r="5640" spans="43:43" x14ac:dyDescent="0.25">
      <c r="AQ5640" s="37"/>
    </row>
    <row r="5641" spans="43:43" x14ac:dyDescent="0.25">
      <c r="AQ5641" s="37"/>
    </row>
    <row r="5642" spans="43:43" x14ac:dyDescent="0.25">
      <c r="AQ5642" s="37"/>
    </row>
    <row r="5643" spans="43:43" x14ac:dyDescent="0.25">
      <c r="AQ5643" s="37"/>
    </row>
    <row r="5644" spans="43:43" x14ac:dyDescent="0.25">
      <c r="AQ5644" s="37"/>
    </row>
    <row r="5645" spans="43:43" x14ac:dyDescent="0.25">
      <c r="AQ5645" s="37"/>
    </row>
    <row r="5646" spans="43:43" x14ac:dyDescent="0.25">
      <c r="AQ5646" s="37"/>
    </row>
    <row r="5647" spans="43:43" x14ac:dyDescent="0.25">
      <c r="AQ5647" s="37"/>
    </row>
    <row r="5648" spans="43:43" x14ac:dyDescent="0.25">
      <c r="AQ5648" s="37"/>
    </row>
    <row r="5649" spans="43:43" x14ac:dyDescent="0.25">
      <c r="AQ5649" s="37"/>
    </row>
    <row r="5650" spans="43:43" x14ac:dyDescent="0.25">
      <c r="AQ5650" s="37"/>
    </row>
    <row r="5651" spans="43:43" x14ac:dyDescent="0.25">
      <c r="AQ5651" s="37"/>
    </row>
    <row r="5652" spans="43:43" x14ac:dyDescent="0.25">
      <c r="AQ5652" s="37"/>
    </row>
    <row r="5653" spans="43:43" x14ac:dyDescent="0.25">
      <c r="AQ5653" s="37"/>
    </row>
    <row r="5654" spans="43:43" x14ac:dyDescent="0.25">
      <c r="AQ5654" s="37"/>
    </row>
    <row r="5655" spans="43:43" x14ac:dyDescent="0.25">
      <c r="AQ5655" s="37"/>
    </row>
    <row r="5656" spans="43:43" x14ac:dyDescent="0.25">
      <c r="AQ5656" s="37"/>
    </row>
    <row r="5657" spans="43:43" x14ac:dyDescent="0.25">
      <c r="AQ5657" s="37"/>
    </row>
    <row r="5658" spans="43:43" x14ac:dyDescent="0.25">
      <c r="AQ5658" s="37"/>
    </row>
    <row r="5659" spans="43:43" x14ac:dyDescent="0.25">
      <c r="AQ5659" s="37"/>
    </row>
    <row r="5660" spans="43:43" x14ac:dyDescent="0.25">
      <c r="AQ5660" s="37"/>
    </row>
    <row r="5661" spans="43:43" x14ac:dyDescent="0.25">
      <c r="AQ5661" s="37"/>
    </row>
    <row r="5662" spans="43:43" x14ac:dyDescent="0.25">
      <c r="AQ5662" s="37"/>
    </row>
    <row r="5663" spans="43:43" x14ac:dyDescent="0.25">
      <c r="AQ5663" s="37"/>
    </row>
    <row r="5664" spans="43:43" x14ac:dyDescent="0.25">
      <c r="AQ5664" s="37"/>
    </row>
    <row r="5665" spans="43:43" x14ac:dyDescent="0.25">
      <c r="AQ5665" s="37"/>
    </row>
    <row r="5666" spans="43:43" x14ac:dyDescent="0.25">
      <c r="AQ5666" s="37"/>
    </row>
    <row r="5667" spans="43:43" x14ac:dyDescent="0.25">
      <c r="AQ5667" s="37"/>
    </row>
    <row r="5668" spans="43:43" x14ac:dyDescent="0.25">
      <c r="AQ5668" s="37"/>
    </row>
    <row r="5669" spans="43:43" x14ac:dyDescent="0.25">
      <c r="AQ5669" s="37"/>
    </row>
    <row r="5670" spans="43:43" x14ac:dyDescent="0.25">
      <c r="AQ5670" s="37"/>
    </row>
    <row r="5671" spans="43:43" x14ac:dyDescent="0.25">
      <c r="AQ5671" s="37"/>
    </row>
    <row r="5672" spans="43:43" x14ac:dyDescent="0.25">
      <c r="AQ5672" s="37"/>
    </row>
    <row r="5673" spans="43:43" x14ac:dyDescent="0.25">
      <c r="AQ5673" s="37"/>
    </row>
    <row r="5674" spans="43:43" x14ac:dyDescent="0.25">
      <c r="AQ5674" s="37"/>
    </row>
    <row r="5675" spans="43:43" x14ac:dyDescent="0.25">
      <c r="AQ5675" s="37"/>
    </row>
    <row r="5676" spans="43:43" x14ac:dyDescent="0.25">
      <c r="AQ5676" s="37"/>
    </row>
    <row r="5677" spans="43:43" x14ac:dyDescent="0.25">
      <c r="AQ5677" s="37"/>
    </row>
    <row r="5678" spans="43:43" x14ac:dyDescent="0.25">
      <c r="AQ5678" s="37"/>
    </row>
    <row r="5679" spans="43:43" x14ac:dyDescent="0.25">
      <c r="AQ5679" s="37"/>
    </row>
    <row r="5680" spans="43:43" x14ac:dyDescent="0.25">
      <c r="AQ5680" s="37"/>
    </row>
    <row r="5681" spans="43:43" x14ac:dyDescent="0.25">
      <c r="AQ5681" s="37"/>
    </row>
    <row r="5682" spans="43:43" x14ac:dyDescent="0.25">
      <c r="AQ5682" s="37"/>
    </row>
    <row r="5683" spans="43:43" x14ac:dyDescent="0.25">
      <c r="AQ5683" s="37"/>
    </row>
    <row r="5684" spans="43:43" x14ac:dyDescent="0.25">
      <c r="AQ5684" s="37"/>
    </row>
    <row r="5685" spans="43:43" x14ac:dyDescent="0.25">
      <c r="AQ5685" s="37"/>
    </row>
    <row r="5686" spans="43:43" x14ac:dyDescent="0.25">
      <c r="AQ5686" s="37"/>
    </row>
    <row r="5687" spans="43:43" x14ac:dyDescent="0.25">
      <c r="AQ5687" s="37"/>
    </row>
    <row r="5688" spans="43:43" x14ac:dyDescent="0.25">
      <c r="AQ5688" s="37"/>
    </row>
    <row r="5689" spans="43:43" x14ac:dyDescent="0.25">
      <c r="AQ5689" s="37"/>
    </row>
    <row r="5690" spans="43:43" x14ac:dyDescent="0.25">
      <c r="AQ5690" s="37"/>
    </row>
    <row r="5691" spans="43:43" x14ac:dyDescent="0.25">
      <c r="AQ5691" s="37"/>
    </row>
    <row r="5692" spans="43:43" x14ac:dyDescent="0.25">
      <c r="AQ5692" s="37"/>
    </row>
    <row r="5693" spans="43:43" x14ac:dyDescent="0.25">
      <c r="AQ5693" s="37"/>
    </row>
    <row r="5694" spans="43:43" x14ac:dyDescent="0.25">
      <c r="AQ5694" s="37"/>
    </row>
    <row r="5695" spans="43:43" x14ac:dyDescent="0.25">
      <c r="AQ5695" s="37"/>
    </row>
    <row r="5696" spans="43:43" x14ac:dyDescent="0.25">
      <c r="AQ5696" s="37"/>
    </row>
    <row r="5697" spans="43:43" x14ac:dyDescent="0.25">
      <c r="AQ5697" s="37"/>
    </row>
    <row r="5698" spans="43:43" x14ac:dyDescent="0.25">
      <c r="AQ5698" s="37"/>
    </row>
    <row r="5699" spans="43:43" x14ac:dyDescent="0.25">
      <c r="AQ5699" s="37"/>
    </row>
  </sheetData>
  <sheetProtection password="BF52" sheet="1" objects="1" scenarios="1"/>
  <mergeCells count="5">
    <mergeCell ref="A1:D1"/>
    <mergeCell ref="A2:D2"/>
    <mergeCell ref="C4:D4"/>
    <mergeCell ref="A5:D5"/>
    <mergeCell ref="A6:D6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 3</dc:creator>
  <cp:lastModifiedBy>ESCRITÓRIO 2</cp:lastModifiedBy>
  <dcterms:created xsi:type="dcterms:W3CDTF">2013-03-06T19:07:35Z</dcterms:created>
  <dcterms:modified xsi:type="dcterms:W3CDTF">2013-03-20T13:57:31Z</dcterms:modified>
</cp:coreProperties>
</file>